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Рішення\49\програма кап.буд\"/>
    </mc:Choice>
  </mc:AlternateContent>
  <xr:revisionPtr revIDLastSave="0" documentId="13_ncr:1_{7321C58B-399E-4BF5-8F50-FB7066BA515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Додаток кап. будівництва" sheetId="12" r:id="rId1"/>
    <sheet name="зміни" sheetId="10" state="hidden" r:id="rId2"/>
  </sheets>
  <definedNames>
    <definedName name="_xlnm.Print_Titles" localSheetId="1">зміни!$4:$6</definedName>
    <definedName name="_xlnm.Print_Area" localSheetId="0">'Додаток кап. будівництва'!$A$1:$I$79</definedName>
    <definedName name="_xlnm.Print_Area" localSheetId="1">зміни!$A$1:$I$69</definedName>
  </definedNames>
  <calcPr calcId="191029" refMode="R1C1"/>
</workbook>
</file>

<file path=xl/calcChain.xml><?xml version="1.0" encoding="utf-8"?>
<calcChain xmlns="http://schemas.openxmlformats.org/spreadsheetml/2006/main">
  <c r="H35" i="12" l="1"/>
  <c r="H31" i="12"/>
  <c r="H32" i="12"/>
  <c r="H33" i="12"/>
  <c r="H34" i="12"/>
  <c r="H30" i="12"/>
  <c r="H24" i="12" l="1"/>
  <c r="I74" i="12"/>
  <c r="G74" i="12"/>
  <c r="F74" i="12"/>
  <c r="H70" i="12"/>
  <c r="H71" i="12"/>
  <c r="H72" i="12"/>
  <c r="H73" i="12"/>
  <c r="H67" i="12"/>
  <c r="H68" i="12"/>
  <c r="H69" i="12"/>
  <c r="H61" i="12"/>
  <c r="H62" i="12"/>
  <c r="H63" i="12"/>
  <c r="H64" i="12"/>
  <c r="H65" i="12"/>
  <c r="H66" i="12"/>
  <c r="H55" i="12"/>
  <c r="H56" i="12"/>
  <c r="H57" i="12"/>
  <c r="H58" i="12"/>
  <c r="H59" i="12"/>
  <c r="H60" i="12"/>
  <c r="H50" i="12"/>
  <c r="H51" i="12"/>
  <c r="H52" i="12"/>
  <c r="H53" i="12"/>
  <c r="H54" i="12"/>
  <c r="H46" i="12"/>
  <c r="H47" i="12"/>
  <c r="H48" i="12"/>
  <c r="H49" i="12"/>
  <c r="H40" i="12"/>
  <c r="H41" i="12"/>
  <c r="H42" i="12"/>
  <c r="H43" i="12"/>
  <c r="H44" i="12"/>
  <c r="H45" i="12"/>
  <c r="H38" i="12"/>
  <c r="H39" i="12"/>
  <c r="H37" i="12"/>
  <c r="H74" i="12" l="1"/>
  <c r="E74" i="12"/>
  <c r="G22" i="10"/>
  <c r="I22" i="10" s="1"/>
  <c r="F22" i="10"/>
  <c r="H22" i="10" s="1"/>
  <c r="I67" i="10"/>
  <c r="I65" i="10"/>
  <c r="I55" i="10"/>
  <c r="I54" i="10"/>
  <c r="H53" i="10"/>
  <c r="I53" i="10" s="1"/>
  <c r="H52" i="10"/>
  <c r="I52" i="10" s="1"/>
  <c r="H51" i="10"/>
  <c r="I51" i="10" s="1"/>
  <c r="H50" i="10"/>
  <c r="I50" i="10" s="1"/>
  <c r="I48" i="10"/>
  <c r="I47" i="10"/>
  <c r="H46" i="10"/>
  <c r="I46" i="10" s="1"/>
  <c r="H45" i="10"/>
  <c r="I45" i="10" s="1"/>
  <c r="H44" i="10"/>
  <c r="I44" i="10"/>
  <c r="H43" i="10"/>
  <c r="I43" i="10" s="1"/>
  <c r="H42" i="10"/>
  <c r="I42" i="10" s="1"/>
  <c r="H41" i="10"/>
  <c r="I41" i="10" s="1"/>
  <c r="H40" i="10"/>
  <c r="H39" i="10"/>
  <c r="H38" i="10"/>
  <c r="H37" i="10"/>
  <c r="H36" i="10"/>
  <c r="I33" i="10"/>
  <c r="H31" i="10"/>
  <c r="G28" i="10"/>
  <c r="I28" i="10"/>
  <c r="G57" i="10"/>
  <c r="G62" i="10"/>
  <c r="G60" i="10"/>
  <c r="G58" i="10"/>
  <c r="H28" i="10"/>
  <c r="G26" i="10"/>
  <c r="F26" i="10"/>
  <c r="I7" i="10"/>
  <c r="H7" i="10"/>
  <c r="F7" i="10"/>
  <c r="F30" i="10" s="1"/>
  <c r="F21" i="10"/>
  <c r="I21" i="10"/>
  <c r="H19" i="10"/>
  <c r="I19" i="10" s="1"/>
  <c r="H18" i="10"/>
  <c r="I18" i="10"/>
  <c r="H17" i="10"/>
  <c r="I17" i="10"/>
  <c r="G27" i="10"/>
  <c r="I27" i="10"/>
  <c r="G25" i="10"/>
  <c r="F25" i="10"/>
  <c r="H25" i="10" s="1"/>
  <c r="G16" i="10"/>
  <c r="I16" i="10" s="1"/>
  <c r="G15" i="10"/>
  <c r="I14" i="10"/>
  <c r="H14" i="10"/>
  <c r="G13" i="10"/>
  <c r="H11" i="10"/>
  <c r="H10" i="10"/>
  <c r="G12" i="10"/>
  <c r="I12" i="10" s="1"/>
  <c r="G11" i="10"/>
  <c r="G10" i="10"/>
  <c r="I10" i="10" s="1"/>
  <c r="G9" i="10"/>
  <c r="G8" i="10"/>
  <c r="E61" i="10"/>
  <c r="G61" i="10" s="1"/>
  <c r="G63" i="10" s="1"/>
  <c r="E67" i="10"/>
  <c r="E65" i="10"/>
  <c r="E62" i="10"/>
  <c r="E57" i="10"/>
  <c r="I57" i="10" s="1"/>
  <c r="E55" i="10"/>
  <c r="E54" i="10"/>
  <c r="D53" i="10"/>
  <c r="E53" i="10" s="1"/>
  <c r="D52" i="10"/>
  <c r="E52" i="10" s="1"/>
  <c r="D51" i="10"/>
  <c r="E51" i="10" s="1"/>
  <c r="D50" i="10"/>
  <c r="E50" i="10" s="1"/>
  <c r="E48" i="10"/>
  <c r="E47" i="10"/>
  <c r="D46" i="10"/>
  <c r="E46" i="10" s="1"/>
  <c r="D45" i="10"/>
  <c r="E45" i="10" s="1"/>
  <c r="D44" i="10"/>
  <c r="E44" i="10" s="1"/>
  <c r="D43" i="10"/>
  <c r="E43" i="10" s="1"/>
  <c r="D42" i="10"/>
  <c r="E42" i="10" s="1"/>
  <c r="D41" i="10"/>
  <c r="E41" i="10" s="1"/>
  <c r="D40" i="10"/>
  <c r="D39" i="10"/>
  <c r="D38" i="10"/>
  <c r="D37" i="10"/>
  <c r="D36" i="10"/>
  <c r="E33" i="10"/>
  <c r="D31" i="10"/>
  <c r="E25" i="10"/>
  <c r="I25" i="10" s="1"/>
  <c r="D24" i="10"/>
  <c r="F24" i="10" s="1"/>
  <c r="E21" i="10"/>
  <c r="D21" i="10"/>
  <c r="H21" i="10" s="1"/>
  <c r="D19" i="10"/>
  <c r="E19" i="10" s="1"/>
  <c r="D18" i="10"/>
  <c r="E18" i="10" s="1"/>
  <c r="D17" i="10"/>
  <c r="E17" i="10" s="1"/>
  <c r="E15" i="10"/>
  <c r="I15" i="10" s="1"/>
  <c r="D15" i="10"/>
  <c r="H15" i="10" s="1"/>
  <c r="E14" i="10"/>
  <c r="D14" i="10"/>
  <c r="E13" i="10"/>
  <c r="I13" i="10" s="1"/>
  <c r="D13" i="10"/>
  <c r="E11" i="10"/>
  <c r="I11" i="10" s="1"/>
  <c r="D11" i="10"/>
  <c r="D10" i="10"/>
  <c r="E9" i="10"/>
  <c r="E8" i="10"/>
  <c r="I8" i="10" s="1"/>
  <c r="E7" i="10"/>
  <c r="E30" i="10" s="1"/>
  <c r="E24" i="10"/>
  <c r="G24" i="10" s="1"/>
  <c r="I62" i="10" l="1"/>
  <c r="I9" i="10"/>
  <c r="D30" i="10"/>
  <c r="D56" i="10"/>
  <c r="H56" i="10"/>
  <c r="E63" i="10"/>
  <c r="I63" i="10"/>
  <c r="I30" i="10"/>
  <c r="I56" i="10"/>
  <c r="H30" i="10"/>
  <c r="E56" i="10"/>
  <c r="E68" i="10" s="1"/>
  <c r="G7" i="10"/>
  <c r="G30" i="10" s="1"/>
  <c r="I68" i="10" l="1"/>
</calcChain>
</file>

<file path=xl/sharedStrings.xml><?xml version="1.0" encoding="utf-8"?>
<sst xmlns="http://schemas.openxmlformats.org/spreadsheetml/2006/main" count="260" uniqueCount="165">
  <si>
    <t>Назва напряму діяльності (пріоритетні завдання)</t>
  </si>
  <si>
    <t>Вул. Франка, 52</t>
  </si>
  <si>
    <t>Вул. Червоного Хреста, 1</t>
  </si>
  <si>
    <t>Вул. Паркова, 6</t>
  </si>
  <si>
    <t>Вул. Першотравнева, 36</t>
  </si>
  <si>
    <t xml:space="preserve">Поточний ремонт асфальтобетонного покриття на внутрішньодворових інженерних мережах (тепло і водопостачання) та проїздів                                                </t>
  </si>
  <si>
    <t>Поточний ремонт асфальтобетонного покриття на внутрішньодворових інженерних мережах (тепло і водопостачання) та проїздів, всього:</t>
  </si>
  <si>
    <t>Вул. М. Грушевського, 70-80 (в’їзди у двори)</t>
  </si>
  <si>
    <t>Вул. Заводська, 3</t>
  </si>
  <si>
    <t>план (м. кв.)</t>
  </si>
  <si>
    <t>Пров. О. Стовби</t>
  </si>
  <si>
    <t>Пров. Молодіжний</t>
  </si>
  <si>
    <t>Капітальний ремонт доріг міста  (суцільне покриття), виготовлення проектно-кошторисної документації, проходження експертизи кошторисної частини та  виконання будівельних робіт</t>
  </si>
  <si>
    <t>НАПРЯМИ ДІЯЛЬНОСТІ ТА ЗАХОДИ</t>
  </si>
  <si>
    <t>ВСЬОГО ПО ПРОГРАМІ:</t>
  </si>
  <si>
    <t xml:space="preserve"> Програми ремонту, реконструкції автомобільних доріг та пішохідних доріжок м. Жовті Води на 2017 рік</t>
  </si>
  <si>
    <t>Капітальний ремонт проїжджої частини вул. Франка, м. Жовті Води (коригування ПКД, проходження експертизи кошторисної частини, співфінансування)</t>
  </si>
  <si>
    <t xml:space="preserve"> фінансування, тис. грн.</t>
  </si>
  <si>
    <t>Капітальний ремонт доріг міста  (суцільне покриття), виготовлення проектно-кошторисної документації, проходження експертизи кошторисної частини та  виконання будівельних робіт, всього:</t>
  </si>
  <si>
    <t>Вул. М. Грушевського, 30, 32, 34 (заїзд в двір та вздовж під'їздів)</t>
  </si>
  <si>
    <t>Вул. М. Грушевського, 32 (проїзд за будинком)</t>
  </si>
  <si>
    <t>Бульвар Свободи, 62</t>
  </si>
  <si>
    <t>Вул. Маяковського</t>
  </si>
  <si>
    <t>Вул. 8-го Березня</t>
  </si>
  <si>
    <t>Пров. Ентузіастів</t>
  </si>
  <si>
    <t>Вул. Лісова, 7, 11, 12-18, 20-22, 33, 37</t>
  </si>
  <si>
    <t>Капітальний ремонт проїжджої частини вул.Володимира Великого, м. Жовті Води (проходження експертизи кошторисної частини)</t>
  </si>
  <si>
    <t>Капітальний ремонт проїжджої частини вул.Лісова, м. Жовті Води (проходження експертизи кошторисної частини)</t>
  </si>
  <si>
    <t>Капітальний ремонт проїжджої частини вул. Козацької Слави             м. Жовті Води (виготовлення ПКД, проходження експертизи кошторисної частини)</t>
  </si>
  <si>
    <t>Поточний ремонт асфальтобетонного покриття</t>
  </si>
  <si>
    <t>Вул. Будівельників</t>
  </si>
  <si>
    <t>Поточний ремонт асфальтобетонного покриття, всього:</t>
  </si>
  <si>
    <t>Вул. Партизанська</t>
  </si>
  <si>
    <t>від гаражного масиву по вул.Партизанська до мосту по вул.Поштова</t>
  </si>
  <si>
    <t>від мосту по вул.Поштова до кінцевої зупинки Водобуд</t>
  </si>
  <si>
    <t>Бульвар Свободи від вул.Хмельницького до вул.Першотравнева</t>
  </si>
  <si>
    <t>Бульвар Свободи від вул.Першотравнева до вул.Будівельників</t>
  </si>
  <si>
    <t>Перелік заходів Програми</t>
  </si>
  <si>
    <t>Суха Балка - маршрут автобуса №7 від трансформатору по вул. Поштова до кінцевої зупинки</t>
  </si>
  <si>
    <t xml:space="preserve">Вул. Володимира Великого </t>
  </si>
  <si>
    <t>Пров. Запорізький</t>
  </si>
  <si>
    <t>Вул. Козакова</t>
  </si>
  <si>
    <t>Вул. Кропоткіна</t>
  </si>
  <si>
    <t>Бульвар Свободи (в межах вул. Гагаріна - вул. Кропоткіна)</t>
  </si>
  <si>
    <t>Бульвар Свободи (в межах барельєфу по бульвару Свободи - вул. Українська)</t>
  </si>
  <si>
    <t>Автомобільна дорога Кривий Ріг - П`ятихатки (в межах вул. Ярослава Мудрого - вул. Заводська)</t>
  </si>
  <si>
    <t>Автомобільна дорога Кривий Ріг - П`ятихатки (в межах вул. Козакова - пілон на м. П`ятихатки)</t>
  </si>
  <si>
    <t>Вул. Хмельницького, 1</t>
  </si>
  <si>
    <t>Вул. Хмельницького, 5-7</t>
  </si>
  <si>
    <t>Вул. Хмельницького, 9</t>
  </si>
  <si>
    <t>Вул. Хмельницького, 19</t>
  </si>
  <si>
    <t>Вул. Хмельницького, 21</t>
  </si>
  <si>
    <t>Вул. Гагаріна, 28, 30</t>
  </si>
  <si>
    <t>Вул. Козацької Слави, 1,3,5</t>
  </si>
  <si>
    <t>Вул. Козацької Слави, навколи буд. №27</t>
  </si>
  <si>
    <t>Вул. Грушевського, 22</t>
  </si>
  <si>
    <t>Капітальний ремонт проїжджої частини вул.Будівельників, м. Жовті Води (проходження експертизи кошторисної частини)</t>
  </si>
  <si>
    <t xml:space="preserve"> Вул. Франка, 44-А, 48</t>
  </si>
  <si>
    <t>Вул. Франка, 44, 46</t>
  </si>
  <si>
    <t>Вул. Франка, 50,52, 54</t>
  </si>
  <si>
    <t>Вул. Ярослава Мудрого, 8</t>
  </si>
  <si>
    <t>Капітальний ремонт доріг міста (погашення кредиторської заборгованості)</t>
  </si>
  <si>
    <t>Погашення кредиторської заборгованості за виконані роботи по об'єкту "Капітальний ремонт проїжджої частини вулиці Хмельницького м. Жовті Води" у 2013 році за рішенням Господарського суду (справа 904/2886/16 та справа 904/7979/16)</t>
  </si>
  <si>
    <t>Проїзд від вул. Ярослава Мудрого до вул. Маяковського</t>
  </si>
  <si>
    <t>Поточний ремонт пішохідних доріжок міста</t>
  </si>
  <si>
    <t>Вул. Кропоткіна, 1,3,5</t>
  </si>
  <si>
    <t>Капітальний ремонт асфальтобетонного покриття проїжджої частини вул. Кропоткіна та елементів благоустрою прилеглої території  (виготовлення ПКД, проходження експертизи кошторисної частини)</t>
  </si>
  <si>
    <t>Попередня Програма</t>
  </si>
  <si>
    <t>Зміни</t>
  </si>
  <si>
    <t>Уточнена Програма</t>
  </si>
  <si>
    <t>Вул. Червоного Хреста</t>
  </si>
  <si>
    <t>Бульвар Свободи (в межах вул. Гагаріна - вул. Ціолковського)</t>
  </si>
  <si>
    <t>Вул. Горького (в межах вул. Гагаріна до Жовтоводського центрального ринку)</t>
  </si>
  <si>
    <t>Заходи Програми</t>
  </si>
  <si>
    <t>Виконавець</t>
  </si>
  <si>
    <t>Строк виконання заходу</t>
  </si>
  <si>
    <t>Усього</t>
  </si>
  <si>
    <t>ДБ</t>
  </si>
  <si>
    <t>ОБ</t>
  </si>
  <si>
    <t>МБ</t>
  </si>
  <si>
    <t>ВСЬОГО</t>
  </si>
  <si>
    <t xml:space="preserve"> Орієнтовні обсяги фінансування за напрямами діяльності та заходами, тис. грн.</t>
  </si>
  <si>
    <t>Капітальний ремонт покрівлі гімназії № 1 по вул. Клюсівська, 19 в м. Червоноград Львівської області</t>
  </si>
  <si>
    <t>Капітальний ремонт покрівлі Острівської гімназії в с. Острів Львівської області</t>
  </si>
  <si>
    <t>Капітальний ремонт покрівлі Соснівського ліцею по вул. Театральна,14а в  м. Соснівка Львівської області (перша черга)</t>
  </si>
  <si>
    <t>Відділ освіти ШМР</t>
  </si>
  <si>
    <t>Капітальний ремонт покрівлі Червоноградського ліцею по вул. Бандери, 17А в  м. Червоноград Львівської області</t>
  </si>
  <si>
    <t>Капітальний ремонт (модернізація)  харчоблоку Гімназії імені родини     Луговських по вулиці Шептицького, 17 в м. Червоноград Львівської області</t>
  </si>
  <si>
    <t>Капітальний ремонт харчоблоку Червоноградського ліцею по вул. Степана Бандери, 17А в  м. Червоноград Львівської області</t>
  </si>
  <si>
    <t>Нове будівництво котельні для закладу дошкільної освіти ясла-садок № 6 комбінованого типу Червоноградської міської ради Львівської області на вулиці Галицька, 7б в місті Соснівка Червоноградської територіальної громади Червоноградського району Львівської області</t>
  </si>
  <si>
    <t>Нове будівництво котельні для закладу дошкільної освіти ясла-садок № 5 комбінованого типу Червоноградської міської ради Львівської області на вулиці Львівська, 35А в місті Соснівка Червоноградської територіальної громади, Червоноградського району, Львівської області</t>
  </si>
  <si>
    <t>Нове будівництво котельні для Соснівської загальноосвітньої школи І-ІІІ ступенів № 14 Червоноградської міської ради Львівської області на вулиці Галицька, 3а в місті Соснівка Червоноградської територіальної громади Червоноградського району Львівської області</t>
  </si>
  <si>
    <t>Нове будівництво котельні для Соснівського ліцею Червоноградської міської ради Львівської області, на вулиці Театральна,14а в місті Соснівка Червоноградської територіальної громади Червоноградського району Львівської області</t>
  </si>
  <si>
    <t xml:space="preserve">Нове будівництво котельні для Соснівської загальноосвітньої школи ЗШ І-ІІІ ступенів №7 Червоноградської міської ради Львівської області на вулиці Шептицького, 2 в місті Соснівка Червоноградської територіальної громади Червоноградського району Львівської області </t>
  </si>
  <si>
    <t>Капітальний ремонт санвузлів Ліцею імені Тараса Городецького</t>
  </si>
  <si>
    <t>Виготовлення ПКД на капітальний ремонт укриття Гімназії № 8</t>
  </si>
  <si>
    <t>Капітальний ремонт будівлі (пандус, площадка, сходи) в Соснівській гімназії</t>
  </si>
  <si>
    <t>Відділ культури ШМР</t>
  </si>
  <si>
    <t>Капітальний ремонт(заміна вікон на енергозберігаючі)</t>
  </si>
  <si>
    <t>Капітальний ремонт сходів бокового входу Ліцею імені Тараса Городецького</t>
  </si>
  <si>
    <t>Демонтаж зруйнованої, недіючої котельні в Соснівській гімназії № 14</t>
  </si>
  <si>
    <t>Капітальний ремонт (модернізація)  харчоблоку Гімназії № 3 по вулиці Корольова, 11 в м. Шептицький Львівська область</t>
  </si>
  <si>
    <t>Нове будівництво котельні для гімназії № 4 Шептицької міської ради Львівської області на вулиці Музейній, 4 в місті Шептицький</t>
  </si>
  <si>
    <t>Нове будівництво котельні для ЗДО ясла-садок № 10 Шептицької міської ради Львівської області на вулиці Курбаса, 6а в місті Шептицький</t>
  </si>
  <si>
    <t>Капітальний ремонт покрівлі гімназії ім. родини Луговських по вул. Шептицького, 17 в м. Шептицький Львівської області(мембрана)</t>
  </si>
  <si>
    <t>Капітальний ремонт спортивної зали в гімназії № 5 по вул. Грінченка, 9 в м. Шептицький Львівської області</t>
  </si>
  <si>
    <t>Капітальний ремонт покрівлі Соснівського ліцею по вул. Театральна,14а в  м. Соснівка Львівської області (друга черга)</t>
  </si>
  <si>
    <t>Капітальний ремонт фасаду Гімназії № 2 (перша черга)</t>
  </si>
  <si>
    <t>Капітальний ремонт(утеплення стін фасаду)ЗДО № 13</t>
  </si>
  <si>
    <t>Капітальний ремонт системи опалення (зі встановлен-ням геотермального реверсивного охолоджувача) в ДЮСШ № 2</t>
  </si>
  <si>
    <t>Капітальний ремонт санвузлів  початкової школи №11</t>
  </si>
  <si>
    <t>Капітальний ремонт харчоблоку Гімназії № 4 по вулиці Музейна, 4 в м. Шептицький Львівська область</t>
  </si>
  <si>
    <t>Капітальний ремонт покрівлі в гімназії № 5 по вул. Грінченка, 9 в м. Шептицький Львівської області</t>
  </si>
  <si>
    <t>Капітальний ремонт фасаду Гімназії № 2 (друга черга)</t>
  </si>
  <si>
    <t>Капітальний ремонт покрівлі  Гімназії № 2</t>
  </si>
  <si>
    <t>Капітальний ремонт спортзалу Ліцею імені Тараса Городецького</t>
  </si>
  <si>
    <t>Капітальний ремонт санвузлів Гімназії № 3 по вулиці Корольова, 11 в м. Шептицький Львівська область</t>
  </si>
  <si>
    <t>Капітальний ремонт(заміна вікон на енергозберігаючі) в Гімназії № 12</t>
  </si>
  <si>
    <t>Капітальний ремонт(заміна вікон на енергозберігаючі) в Червоноградському ліцеї</t>
  </si>
  <si>
    <t>Капітальний ремонт(заміна вікон на енергозберігаючі) в БДЮТЧ</t>
  </si>
  <si>
    <t>Капітальний ремонт харчоблоку  початкової школи №11</t>
  </si>
  <si>
    <t>Реконструкція підвісного мосту через р. Західний Буг в  м.Червонограді Львівської області. Коригування</t>
  </si>
  <si>
    <t>Реконструкція скидного колектора очищених стічних вод Червоноградських очисних споруд в с.Добрячин, Сокальського району Львівської обл. на ділянці від автодороги Червоноград-Сокаль до р.Західний Буг (Коригування)</t>
  </si>
  <si>
    <t>Реконструкція скверу по вул.Івасюка в м.Червоноград Львівської області</t>
  </si>
  <si>
    <t>Будівництво дитячого садка-ясел на 90 місць в с.Сілець Сокальського району Львівської області. Коригування</t>
  </si>
  <si>
    <t>Реконструкція магістрального водопроводу від РГК-1 до вул.Сокальська м.Червоноград Червоноградського району Львівської області</t>
  </si>
  <si>
    <t xml:space="preserve">Реконструкція водопровідної мережі м.Червоноград Львівської області. Коригування. </t>
  </si>
  <si>
    <t>Реконструкція системи дощової каналізації лікарняного містечка по вул.Івасюка,2 в м.Червоноград Львівської області</t>
  </si>
  <si>
    <t>Капітальний ремонт ПРУ  №50325 КП "ЦМЛ ЧМР" за адресою Львівська область, м.Червоноград, вул.Івасюка,2</t>
  </si>
  <si>
    <t>Реконструкція електричних мереж з метою встановлення когенераційних установок для резервного живлення РГК-1 (під час опалювального сезону) в м.Червоноград, Львівської області</t>
  </si>
  <si>
    <t>2025-2026</t>
  </si>
  <si>
    <t>2025-2028</t>
  </si>
  <si>
    <t>2027-2028</t>
  </si>
  <si>
    <t>2026-2028</t>
  </si>
  <si>
    <t xml:space="preserve">Реконструкція мережі зовнішнього освітлення з використанням енергозберігаючих технологій по вул. Зелена в  с.Борятин Червоноградського району Львівської області </t>
  </si>
  <si>
    <t>Реконструкція мережі зовнішнього освітлення з використанням енергозберігаючих технологій по вул. І.Франка в  с.Острів Червоноградського району Львівської області</t>
  </si>
  <si>
    <t>Реконструкція мережі зовнішнього освітлення по вул.Польова, вул.С.Бандери, вул.І.Франка та вул.Перегорода у с.Волсвин Червоноградського району Львівської області з  використанням енергозберігаючих технологій</t>
  </si>
  <si>
    <t>Реконструкція електричних мереж шляхом влаштування наземної гібридної сонячної електростанції для Правдинського водозабору Червоноградського району Львівської області, розташованого на відстані 8 км на північний захід від м.Червоноград</t>
  </si>
  <si>
    <t>Влаштування водовідведення з дороги по вул.Б. Хмельницького м. Шептицький Львівської області (реконструкція)</t>
  </si>
  <si>
    <t>Капітальний ремонт  водопроводу по вул.Героїв Майдану,2 (район спорткомплексу "Шахтар") в м. Шептицький Львівської області</t>
  </si>
  <si>
    <t>КП"Водоканал"ШМР</t>
  </si>
  <si>
    <t>Капітальний ремонт  водопроводу  від насосної станції Соснівського водозабору  до м.Соснівка  (район шахти "Надія")  Шептицького району Львівської області</t>
  </si>
  <si>
    <t>Відділ КБІ ШМР</t>
  </si>
  <si>
    <t>Реконструкція  каналізаційних очисних споруд м. Соснівка Червоноградського району Львівської області</t>
  </si>
  <si>
    <t>Розширення кладовища в с.Бендюга для м.Шептицький</t>
  </si>
  <si>
    <t>Розширення кладовища в с.Добрячин для м.Шептицький</t>
  </si>
  <si>
    <t>КП "Комунальник"</t>
  </si>
  <si>
    <t>Реконструкція парку культури та відпочинку</t>
  </si>
  <si>
    <t>Розширення "ППППВ" (будівництво карт та комплексних споруд)</t>
  </si>
  <si>
    <t xml:space="preserve">Капітальний ремонт мосту по вул. Б.Хмельницького через р.Солокія в м.Шептицький </t>
  </si>
  <si>
    <t>Капітальний ремонт КЗ Шептицький народний дім.</t>
  </si>
  <si>
    <t>Капітальний ремонт мосту в с. Волсвин</t>
  </si>
  <si>
    <t>Будівництво технологічної лінії утилізації шламів (осадів) від очищених стічних вод Червоноградських очисних споруд (ІІІ черга) Коригування</t>
  </si>
  <si>
    <t>Нове будівництво ділянки дороги вздовж західної межі житлового кварталу «Солокія» в м. Червоноград Львівської області</t>
  </si>
  <si>
    <t>Інше</t>
  </si>
  <si>
    <t>Капітальний ремонтя дощової каналізації від  ТОВ "Дюна-Веста" до вул.Сокалська в м.Шептицький Львівської області</t>
  </si>
  <si>
    <t>Реконструкція вул.Сокальська з метою влаштування відкритої автостоянки для тимчасового перебування автомобілів в м.Шептицький Львівської області</t>
  </si>
  <si>
    <t xml:space="preserve">"Реконструкція системи підігріву плавального басейну Палацу спорту  КП СК "Шахтар " за адресою: Львівська область ,
м.Червоноград, вул.Героїв Майдану , 2 
</t>
  </si>
  <si>
    <t>Будівництво цеху для виготовлення компосту з відходів зеленого господарства м.Червонограда Львівської області</t>
  </si>
  <si>
    <t>Реконструкція будівлі онкологічного відділення з прибудовою спеціалізованих приміщень з метою встановлення медичного лінійного прискорювача та комп’ютерного томографа в КНП «ЦМЛ ШМР» за адресою: вул.Івасюка,2 в м.Шептицький Львівської області</t>
  </si>
  <si>
    <t>№ п/п</t>
  </si>
  <si>
    <t>План заходів Програми капітального будівництва Червоноградської  міської територіальної громади  на 2025-2028 роки</t>
  </si>
  <si>
    <t>Додаток до  Програми</t>
  </si>
  <si>
    <t xml:space="preserve">Секретар ради </t>
  </si>
  <si>
    <t>Олександр ГРАСУЛОВ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</si>
</sst>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#,##0.000"/>
    <numFmt numFmtId="167" formatCode="#,##0.00000"/>
  </numFmts>
  <fonts count="29" x14ac:knownFonts="1">
    <font>
      <sz val="10"/>
      <name val="Arial Cyr"/>
      <charset val="204"/>
    </font>
    <font>
      <sz val="10"/>
      <color indexed="8"/>
      <name val="Arial Cyr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Arial Cyr"/>
      <charset val="204"/>
    </font>
    <font>
      <b/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Arial Cyr"/>
      <charset val="204"/>
    </font>
    <font>
      <sz val="10"/>
      <color indexed="10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Arial Cyr"/>
      <charset val="204"/>
    </font>
    <font>
      <sz val="10"/>
      <color indexed="8"/>
      <name val="Arial Cyr"/>
      <charset val="204"/>
    </font>
    <font>
      <sz val="12"/>
      <color indexed="8"/>
      <name val="Arial Cyr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Arial Cyr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2" fontId="6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165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65" fontId="7" fillId="0" borderId="0" xfId="0" applyNumberFormat="1" applyFont="1"/>
    <xf numFmtId="165" fontId="6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2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165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165" fontId="1" fillId="0" borderId="1" xfId="0" applyNumberFormat="1" applyFont="1" applyBorder="1"/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2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/>
    <xf numFmtId="2" fontId="5" fillId="0" borderId="1" xfId="0" applyNumberFormat="1" applyFont="1" applyBorder="1" applyAlignment="1">
      <alignment vertical="top" wrapText="1"/>
    </xf>
    <xf numFmtId="0" fontId="11" fillId="0" borderId="0" xfId="0" applyFont="1"/>
    <xf numFmtId="0" fontId="10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67" fontId="15" fillId="0" borderId="0" xfId="0" applyNumberFormat="1" applyFont="1"/>
    <xf numFmtId="167" fontId="16" fillId="0" borderId="0" xfId="0" applyNumberFormat="1" applyFont="1"/>
    <xf numFmtId="167" fontId="14" fillId="0" borderId="0" xfId="0" applyNumberFormat="1" applyFont="1"/>
    <xf numFmtId="167" fontId="19" fillId="0" borderId="0" xfId="0" applyNumberFormat="1" applyFont="1"/>
    <xf numFmtId="0" fontId="20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  <xf numFmtId="0" fontId="22" fillId="0" borderId="0" xfId="0" applyFont="1"/>
    <xf numFmtId="166" fontId="22" fillId="0" borderId="0" xfId="0" applyNumberFormat="1" applyFont="1"/>
    <xf numFmtId="167" fontId="17" fillId="0" borderId="0" xfId="0" applyNumberFormat="1" applyFont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66" fontId="23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167" fontId="17" fillId="0" borderId="0" xfId="0" applyNumberFormat="1" applyFont="1"/>
    <xf numFmtId="0" fontId="1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/>
    <xf numFmtId="167" fontId="26" fillId="0" borderId="0" xfId="0" applyNumberFormat="1" applyFont="1"/>
    <xf numFmtId="0" fontId="24" fillId="0" borderId="1" xfId="0" applyFont="1" applyBorder="1" applyAlignment="1">
      <alignment horizontal="center" vertical="center"/>
    </xf>
    <xf numFmtId="167" fontId="24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center" vertical="center" wrapText="1"/>
    </xf>
    <xf numFmtId="166" fontId="26" fillId="0" borderId="1" xfId="0" applyNumberFormat="1" applyFont="1" applyBorder="1" applyAlignment="1">
      <alignment horizontal="center" vertical="center"/>
    </xf>
    <xf numFmtId="166" fontId="26" fillId="0" borderId="1" xfId="0" applyNumberFormat="1" applyFont="1" applyBorder="1" applyAlignment="1">
      <alignment horizontal="right" vertical="center"/>
    </xf>
    <xf numFmtId="0" fontId="23" fillId="0" borderId="1" xfId="0" applyFont="1" applyBorder="1" applyAlignment="1">
      <alignment horizontal="left" vertical="top"/>
    </xf>
    <xf numFmtId="0" fontId="26" fillId="0" borderId="1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center" vertical="center"/>
    </xf>
    <xf numFmtId="166" fontId="25" fillId="0" borderId="1" xfId="0" applyNumberFormat="1" applyFont="1" applyBorder="1" applyAlignment="1">
      <alignment horizontal="right" vertical="center" wrapText="1"/>
    </xf>
    <xf numFmtId="0" fontId="25" fillId="0" borderId="1" xfId="0" applyFont="1" applyBorder="1" applyAlignment="1">
      <alignment horizontal="left" vertical="top" wrapText="1"/>
    </xf>
    <xf numFmtId="166" fontId="23" fillId="0" borderId="1" xfId="0" applyNumberFormat="1" applyFont="1" applyBorder="1" applyAlignment="1">
      <alignment vertical="center" wrapText="1"/>
    </xf>
    <xf numFmtId="166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66" fontId="24" fillId="0" borderId="1" xfId="0" applyNumberFormat="1" applyFont="1" applyBorder="1" applyAlignment="1">
      <alignment horizontal="center" vertical="center"/>
    </xf>
    <xf numFmtId="0" fontId="14" fillId="0" borderId="1" xfId="0" applyFont="1" applyBorder="1"/>
    <xf numFmtId="0" fontId="27" fillId="0" borderId="1" xfId="0" applyFont="1" applyBorder="1" applyAlignment="1">
      <alignment vertical="center"/>
    </xf>
    <xf numFmtId="0" fontId="22" fillId="0" borderId="1" xfId="0" applyFont="1" applyBorder="1"/>
    <xf numFmtId="0" fontId="14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/>
    <xf numFmtId="167" fontId="24" fillId="0" borderId="0" xfId="0" applyNumberFormat="1" applyFont="1"/>
    <xf numFmtId="167" fontId="2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167" fontId="17" fillId="0" borderId="0" xfId="0" applyNumberFormat="1" applyFont="1" applyAlignment="1">
      <alignment horizontal="center" vertical="center" wrapText="1"/>
    </xf>
    <xf numFmtId="167" fontId="2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166" fontId="17" fillId="0" borderId="0" xfId="0" applyNumberFormat="1" applyFont="1" applyAlignment="1">
      <alignment horizontal="center" vertical="center"/>
    </xf>
    <xf numFmtId="166" fontId="21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V80"/>
  <sheetViews>
    <sheetView tabSelected="1" view="pageBreakPreview" topLeftCell="A70" zoomScale="80" zoomScaleNormal="80" zoomScaleSheetLayoutView="80" workbookViewId="0">
      <selection activeCell="G23" sqref="G23"/>
    </sheetView>
  </sheetViews>
  <sheetFormatPr defaultColWidth="9.109375" defaultRowHeight="13.2" x14ac:dyDescent="0.25"/>
  <cols>
    <col min="1" max="1" width="9.109375" style="38"/>
    <col min="2" max="2" width="71.6640625" style="40" customWidth="1"/>
    <col min="3" max="3" width="19.21875" style="38" customWidth="1"/>
    <col min="4" max="4" width="14.6640625" style="38" customWidth="1"/>
    <col min="5" max="5" width="17.88671875" style="45" customWidth="1"/>
    <col min="6" max="6" width="16.33203125" style="45" customWidth="1"/>
    <col min="7" max="7" width="20" style="45" customWidth="1"/>
    <col min="8" max="8" width="23.109375" style="45" customWidth="1"/>
    <col min="9" max="9" width="23.88671875" style="45" customWidth="1"/>
    <col min="10" max="10" width="18.109375" style="38" customWidth="1"/>
    <col min="11" max="11" width="11.6640625" style="38" bestFit="1" customWidth="1"/>
    <col min="12" max="12" width="16.33203125" style="38" bestFit="1" customWidth="1"/>
    <col min="13" max="16384" width="9.109375" style="38"/>
  </cols>
  <sheetData>
    <row r="1" spans="1:230" ht="40.799999999999997" customHeight="1" x14ac:dyDescent="0.35">
      <c r="B1" s="60"/>
      <c r="C1" s="61"/>
      <c r="D1" s="61"/>
      <c r="E1" s="62"/>
      <c r="F1" s="85" t="s">
        <v>162</v>
      </c>
      <c r="G1" s="85"/>
      <c r="H1" s="85"/>
      <c r="I1" s="85"/>
    </row>
    <row r="2" spans="1:230" ht="9.75" customHeight="1" x14ac:dyDescent="0.35">
      <c r="B2" s="60"/>
      <c r="C2" s="61"/>
      <c r="D2" s="61"/>
      <c r="E2" s="62"/>
      <c r="F2" s="62"/>
      <c r="G2" s="62"/>
      <c r="H2" s="62"/>
      <c r="I2" s="62"/>
    </row>
    <row r="3" spans="1:230" ht="21.75" customHeight="1" x14ac:dyDescent="0.25">
      <c r="B3" s="87" t="s">
        <v>161</v>
      </c>
      <c r="C3" s="87"/>
      <c r="D3" s="87"/>
      <c r="E3" s="87"/>
      <c r="F3" s="87"/>
      <c r="G3" s="87"/>
      <c r="H3" s="87"/>
      <c r="I3" s="87"/>
      <c r="J3" s="49"/>
      <c r="K3" s="41"/>
      <c r="L3" s="41"/>
      <c r="M3" s="41"/>
      <c r="N3" s="41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</row>
    <row r="4" spans="1:230" s="37" customFormat="1" ht="34.5" customHeight="1" x14ac:dyDescent="0.25">
      <c r="A4" s="78"/>
      <c r="B4" s="88" t="s">
        <v>73</v>
      </c>
      <c r="C4" s="88" t="s">
        <v>74</v>
      </c>
      <c r="D4" s="89" t="s">
        <v>75</v>
      </c>
      <c r="E4" s="91" t="s">
        <v>81</v>
      </c>
      <c r="F4" s="91"/>
      <c r="G4" s="91"/>
      <c r="H4" s="91"/>
      <c r="I4" s="91"/>
      <c r="J4" s="50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</row>
    <row r="5" spans="1:230" s="37" customFormat="1" ht="41.25" customHeight="1" x14ac:dyDescent="0.25">
      <c r="A5" s="79" t="s">
        <v>160</v>
      </c>
      <c r="B5" s="88"/>
      <c r="C5" s="88"/>
      <c r="D5" s="89"/>
      <c r="E5" s="64" t="s">
        <v>76</v>
      </c>
      <c r="F5" s="77" t="s">
        <v>77</v>
      </c>
      <c r="G5" s="64" t="s">
        <v>78</v>
      </c>
      <c r="H5" s="64" t="s">
        <v>79</v>
      </c>
      <c r="I5" s="64" t="s">
        <v>154</v>
      </c>
      <c r="J5" s="50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</row>
    <row r="6" spans="1:230" s="37" customFormat="1" ht="43.8" customHeight="1" x14ac:dyDescent="0.25">
      <c r="A6" s="81">
        <v>1</v>
      </c>
      <c r="B6" s="65" t="s">
        <v>121</v>
      </c>
      <c r="C6" s="66" t="s">
        <v>142</v>
      </c>
      <c r="D6" s="66">
        <v>2025</v>
      </c>
      <c r="E6" s="67">
        <v>3600</v>
      </c>
      <c r="F6" s="67"/>
      <c r="G6" s="67"/>
      <c r="H6" s="67">
        <v>3600</v>
      </c>
      <c r="I6" s="67"/>
      <c r="J6" s="51"/>
    </row>
    <row r="7" spans="1:230" s="37" customFormat="1" ht="76.5" customHeight="1" x14ac:dyDescent="0.25">
      <c r="A7" s="81">
        <v>2</v>
      </c>
      <c r="B7" s="65" t="s">
        <v>122</v>
      </c>
      <c r="C7" s="66" t="s">
        <v>142</v>
      </c>
      <c r="D7" s="66" t="s">
        <v>131</v>
      </c>
      <c r="E7" s="67">
        <v>4775</v>
      </c>
      <c r="F7" s="67"/>
      <c r="G7" s="67">
        <v>3342</v>
      </c>
      <c r="H7" s="67">
        <v>1433</v>
      </c>
      <c r="I7" s="67"/>
      <c r="J7" s="51"/>
    </row>
    <row r="8" spans="1:230" s="37" customFormat="1" ht="42.6" customHeight="1" x14ac:dyDescent="0.25">
      <c r="A8" s="81">
        <v>3</v>
      </c>
      <c r="B8" s="65" t="s">
        <v>123</v>
      </c>
      <c r="C8" s="66" t="s">
        <v>142</v>
      </c>
      <c r="D8" s="66" t="s">
        <v>132</v>
      </c>
      <c r="E8" s="67">
        <v>21000</v>
      </c>
      <c r="F8" s="67"/>
      <c r="G8" s="67">
        <v>14700</v>
      </c>
      <c r="H8" s="67">
        <v>6300</v>
      </c>
      <c r="I8" s="67"/>
      <c r="J8" s="51"/>
    </row>
    <row r="9" spans="1:230" s="37" customFormat="1" ht="49.8" customHeight="1" x14ac:dyDescent="0.25">
      <c r="A9" s="81">
        <v>4</v>
      </c>
      <c r="B9" s="65" t="s">
        <v>124</v>
      </c>
      <c r="C9" s="66" t="s">
        <v>142</v>
      </c>
      <c r="D9" s="66">
        <v>2025</v>
      </c>
      <c r="E9" s="67">
        <v>4200</v>
      </c>
      <c r="F9" s="67"/>
      <c r="G9" s="67"/>
      <c r="H9" s="67">
        <v>4200</v>
      </c>
      <c r="I9" s="67"/>
      <c r="J9" s="51"/>
    </row>
    <row r="10" spans="1:230" s="37" customFormat="1" ht="58.5" customHeight="1" x14ac:dyDescent="0.25">
      <c r="A10" s="81">
        <v>5</v>
      </c>
      <c r="B10" s="65" t="s">
        <v>125</v>
      </c>
      <c r="C10" s="66" t="s">
        <v>142</v>
      </c>
      <c r="D10" s="66" t="s">
        <v>132</v>
      </c>
      <c r="E10" s="67">
        <v>5450</v>
      </c>
      <c r="F10" s="67"/>
      <c r="G10" s="67"/>
      <c r="H10" s="67">
        <v>5450</v>
      </c>
      <c r="I10" s="67"/>
      <c r="J10" s="51"/>
    </row>
    <row r="11" spans="1:230" s="37" customFormat="1" ht="53.4" customHeight="1" x14ac:dyDescent="0.25">
      <c r="A11" s="81">
        <v>6</v>
      </c>
      <c r="B11" s="65" t="s">
        <v>126</v>
      </c>
      <c r="C11" s="66" t="s">
        <v>142</v>
      </c>
      <c r="D11" s="66" t="s">
        <v>133</v>
      </c>
      <c r="E11" s="67">
        <v>7635.241</v>
      </c>
      <c r="F11" s="67"/>
      <c r="G11" s="67"/>
      <c r="H11" s="67">
        <v>7635.241</v>
      </c>
      <c r="I11" s="67"/>
      <c r="J11" s="51"/>
    </row>
    <row r="12" spans="1:230" s="37" customFormat="1" ht="42.6" customHeight="1" x14ac:dyDescent="0.25">
      <c r="A12" s="81">
        <v>7</v>
      </c>
      <c r="B12" s="65" t="s">
        <v>127</v>
      </c>
      <c r="C12" s="66" t="s">
        <v>142</v>
      </c>
      <c r="D12" s="66" t="s">
        <v>130</v>
      </c>
      <c r="E12" s="67">
        <v>1336.327</v>
      </c>
      <c r="F12" s="67"/>
      <c r="G12" s="67"/>
      <c r="H12" s="67">
        <v>1336.327</v>
      </c>
      <c r="I12" s="67"/>
      <c r="J12" s="51"/>
    </row>
    <row r="13" spans="1:230" s="37" customFormat="1" ht="59.25" customHeight="1" x14ac:dyDescent="0.25">
      <c r="A13" s="81">
        <v>8</v>
      </c>
      <c r="B13" s="65" t="s">
        <v>128</v>
      </c>
      <c r="C13" s="66" t="s">
        <v>142</v>
      </c>
      <c r="D13" s="66" t="s">
        <v>130</v>
      </c>
      <c r="E13" s="67">
        <v>9072.58</v>
      </c>
      <c r="F13" s="67">
        <v>6047.58</v>
      </c>
      <c r="G13" s="67"/>
      <c r="H13" s="67">
        <v>3025</v>
      </c>
      <c r="I13" s="67"/>
      <c r="J13" s="51"/>
    </row>
    <row r="14" spans="1:230" s="37" customFormat="1" ht="76.5" customHeight="1" x14ac:dyDescent="0.25">
      <c r="A14" s="81">
        <v>9</v>
      </c>
      <c r="B14" s="65" t="s">
        <v>129</v>
      </c>
      <c r="C14" s="66" t="s">
        <v>142</v>
      </c>
      <c r="D14" s="66" t="s">
        <v>130</v>
      </c>
      <c r="E14" s="67">
        <v>26436.09</v>
      </c>
      <c r="F14" s="67">
        <v>19826.09</v>
      </c>
      <c r="G14" s="67"/>
      <c r="H14" s="67">
        <v>6610</v>
      </c>
      <c r="I14" s="67"/>
      <c r="J14" s="51"/>
    </row>
    <row r="15" spans="1:230" s="37" customFormat="1" ht="55.8" customHeight="1" x14ac:dyDescent="0.25">
      <c r="A15" s="81">
        <v>10</v>
      </c>
      <c r="B15" s="65" t="s">
        <v>134</v>
      </c>
      <c r="C15" s="66" t="s">
        <v>142</v>
      </c>
      <c r="D15" s="66" t="s">
        <v>130</v>
      </c>
      <c r="E15" s="67">
        <v>392</v>
      </c>
      <c r="F15" s="67"/>
      <c r="G15" s="67"/>
      <c r="H15" s="67">
        <v>392</v>
      </c>
      <c r="I15" s="67"/>
      <c r="J15" s="51"/>
    </row>
    <row r="16" spans="1:230" s="37" customFormat="1" ht="76.5" customHeight="1" x14ac:dyDescent="0.25">
      <c r="A16" s="81">
        <v>11</v>
      </c>
      <c r="B16" s="65" t="s">
        <v>135</v>
      </c>
      <c r="C16" s="66" t="s">
        <v>142</v>
      </c>
      <c r="D16" s="66" t="s">
        <v>130</v>
      </c>
      <c r="E16" s="67">
        <v>487</v>
      </c>
      <c r="F16" s="67"/>
      <c r="G16" s="67"/>
      <c r="H16" s="67">
        <v>487</v>
      </c>
      <c r="I16" s="67"/>
      <c r="J16" s="51"/>
    </row>
    <row r="17" spans="1:10" s="37" customFormat="1" ht="76.5" customHeight="1" x14ac:dyDescent="0.25">
      <c r="A17" s="81">
        <v>12</v>
      </c>
      <c r="B17" s="65" t="s">
        <v>136</v>
      </c>
      <c r="C17" s="66" t="s">
        <v>142</v>
      </c>
      <c r="D17" s="66" t="s">
        <v>130</v>
      </c>
      <c r="E17" s="67">
        <v>890</v>
      </c>
      <c r="F17" s="67"/>
      <c r="G17" s="67"/>
      <c r="H17" s="67">
        <v>890</v>
      </c>
      <c r="I17" s="67"/>
      <c r="J17" s="51"/>
    </row>
    <row r="18" spans="1:10" s="37" customFormat="1" ht="76.5" customHeight="1" x14ac:dyDescent="0.25">
      <c r="A18" s="81">
        <v>13</v>
      </c>
      <c r="B18" s="65" t="s">
        <v>137</v>
      </c>
      <c r="C18" s="66" t="s">
        <v>142</v>
      </c>
      <c r="D18" s="66" t="s">
        <v>130</v>
      </c>
      <c r="E18" s="67">
        <v>4674.16</v>
      </c>
      <c r="F18" s="67"/>
      <c r="G18" s="67"/>
      <c r="H18" s="67">
        <v>3434.5590000000002</v>
      </c>
      <c r="I18" s="67">
        <v>1239.6010000000001</v>
      </c>
      <c r="J18" s="51"/>
    </row>
    <row r="19" spans="1:10" s="37" customFormat="1" ht="68.25" customHeight="1" x14ac:dyDescent="0.25">
      <c r="A19" s="81">
        <v>14</v>
      </c>
      <c r="B19" s="65" t="s">
        <v>138</v>
      </c>
      <c r="C19" s="66" t="s">
        <v>142</v>
      </c>
      <c r="D19" s="66" t="s">
        <v>130</v>
      </c>
      <c r="E19" s="67">
        <v>600</v>
      </c>
      <c r="F19" s="67"/>
      <c r="G19" s="67"/>
      <c r="H19" s="67">
        <v>600</v>
      </c>
      <c r="I19" s="67"/>
      <c r="J19" s="51"/>
    </row>
    <row r="20" spans="1:10" s="37" customFormat="1" ht="46.8" customHeight="1" x14ac:dyDescent="0.25">
      <c r="A20" s="81">
        <v>15</v>
      </c>
      <c r="B20" s="65" t="s">
        <v>155</v>
      </c>
      <c r="C20" s="66" t="s">
        <v>142</v>
      </c>
      <c r="D20" s="66" t="s">
        <v>131</v>
      </c>
      <c r="E20" s="67">
        <v>1713</v>
      </c>
      <c r="F20" s="67"/>
      <c r="G20" s="67"/>
      <c r="H20" s="67">
        <v>1713</v>
      </c>
      <c r="I20" s="67"/>
      <c r="J20" s="51"/>
    </row>
    <row r="21" spans="1:10" s="37" customFormat="1" ht="62.4" customHeight="1" x14ac:dyDescent="0.25">
      <c r="A21" s="81">
        <v>16</v>
      </c>
      <c r="B21" s="65" t="s">
        <v>152</v>
      </c>
      <c r="C21" s="66" t="s">
        <v>142</v>
      </c>
      <c r="D21" s="66" t="s">
        <v>133</v>
      </c>
      <c r="E21" s="67">
        <v>2000</v>
      </c>
      <c r="F21" s="67"/>
      <c r="G21" s="67"/>
      <c r="H21" s="67">
        <v>2000</v>
      </c>
      <c r="I21" s="67"/>
      <c r="J21" s="51"/>
    </row>
    <row r="22" spans="1:10" s="37" customFormat="1" ht="76.5" customHeight="1" x14ac:dyDescent="0.25">
      <c r="A22" s="81">
        <v>17</v>
      </c>
      <c r="B22" s="65" t="s">
        <v>153</v>
      </c>
      <c r="C22" s="66" t="s">
        <v>142</v>
      </c>
      <c r="D22" s="66" t="s">
        <v>131</v>
      </c>
      <c r="E22" s="67">
        <v>92145</v>
      </c>
      <c r="F22" s="67"/>
      <c r="G22" s="67">
        <v>64501</v>
      </c>
      <c r="H22" s="67">
        <v>27644</v>
      </c>
      <c r="I22" s="67"/>
      <c r="J22" s="51"/>
    </row>
    <row r="23" spans="1:10" s="37" customFormat="1" ht="76.5" customHeight="1" x14ac:dyDescent="0.25">
      <c r="A23" s="81">
        <v>18</v>
      </c>
      <c r="B23" s="65" t="s">
        <v>156</v>
      </c>
      <c r="C23" s="66" t="s">
        <v>142</v>
      </c>
      <c r="D23" s="66" t="s">
        <v>130</v>
      </c>
      <c r="E23" s="67">
        <v>600</v>
      </c>
      <c r="F23" s="67"/>
      <c r="G23" s="67"/>
      <c r="H23" s="67">
        <v>600</v>
      </c>
      <c r="I23" s="67"/>
      <c r="J23" s="51"/>
    </row>
    <row r="24" spans="1:10" s="37" customFormat="1" ht="76.5" customHeight="1" x14ac:dyDescent="0.25">
      <c r="A24" s="81">
        <v>19</v>
      </c>
      <c r="B24" s="65" t="s">
        <v>157</v>
      </c>
      <c r="C24" s="66" t="s">
        <v>142</v>
      </c>
      <c r="D24" s="66" t="s">
        <v>130</v>
      </c>
      <c r="E24" s="67">
        <v>17369.53</v>
      </c>
      <c r="F24" s="67"/>
      <c r="G24" s="67"/>
      <c r="H24" s="67">
        <f>E24</f>
        <v>17369.53</v>
      </c>
      <c r="I24" s="67"/>
      <c r="J24" s="51"/>
    </row>
    <row r="25" spans="1:10" s="37" customFormat="1" ht="50.4" customHeight="1" x14ac:dyDescent="0.25">
      <c r="A25" s="81">
        <v>20</v>
      </c>
      <c r="B25" s="65" t="s">
        <v>158</v>
      </c>
      <c r="C25" s="66" t="s">
        <v>142</v>
      </c>
      <c r="D25" s="66" t="s">
        <v>133</v>
      </c>
      <c r="E25" s="67">
        <v>30003.477999999999</v>
      </c>
      <c r="F25" s="67"/>
      <c r="G25" s="67"/>
      <c r="H25" s="67">
        <v>9001</v>
      </c>
      <c r="I25" s="67">
        <v>21002.477999999999</v>
      </c>
      <c r="J25" s="51"/>
    </row>
    <row r="26" spans="1:10" s="37" customFormat="1" ht="96.75" customHeight="1" x14ac:dyDescent="0.25">
      <c r="A26" s="81">
        <v>21</v>
      </c>
      <c r="B26" s="65" t="s">
        <v>159</v>
      </c>
      <c r="C26" s="66" t="s">
        <v>142</v>
      </c>
      <c r="D26" s="66" t="s">
        <v>131</v>
      </c>
      <c r="E26" s="67">
        <v>3000</v>
      </c>
      <c r="F26" s="67"/>
      <c r="G26" s="67"/>
      <c r="H26" s="67">
        <v>3000</v>
      </c>
      <c r="I26" s="67"/>
      <c r="J26" s="51"/>
    </row>
    <row r="27" spans="1:10" s="37" customFormat="1" ht="76.5" customHeight="1" x14ac:dyDescent="0.25">
      <c r="A27" s="81">
        <v>22</v>
      </c>
      <c r="B27" s="65" t="s">
        <v>139</v>
      </c>
      <c r="C27" s="66" t="s">
        <v>140</v>
      </c>
      <c r="D27" s="66" t="s">
        <v>131</v>
      </c>
      <c r="E27" s="68">
        <v>870</v>
      </c>
      <c r="F27" s="67"/>
      <c r="G27" s="67"/>
      <c r="H27" s="67">
        <v>870</v>
      </c>
      <c r="I27" s="67"/>
      <c r="J27" s="51"/>
    </row>
    <row r="28" spans="1:10" s="37" customFormat="1" ht="76.5" customHeight="1" x14ac:dyDescent="0.25">
      <c r="A28" s="81">
        <v>23</v>
      </c>
      <c r="B28" s="65" t="s">
        <v>141</v>
      </c>
      <c r="C28" s="66" t="s">
        <v>140</v>
      </c>
      <c r="D28" s="66" t="s">
        <v>131</v>
      </c>
      <c r="E28" s="68">
        <v>879</v>
      </c>
      <c r="F28" s="67"/>
      <c r="G28" s="67"/>
      <c r="H28" s="67">
        <v>879</v>
      </c>
      <c r="I28" s="67"/>
      <c r="J28" s="51"/>
    </row>
    <row r="29" spans="1:10" s="37" customFormat="1" ht="47.4" customHeight="1" x14ac:dyDescent="0.25">
      <c r="A29" s="81">
        <v>24</v>
      </c>
      <c r="B29" s="65" t="s">
        <v>143</v>
      </c>
      <c r="C29" s="66" t="s">
        <v>140</v>
      </c>
      <c r="D29" s="66" t="s">
        <v>131</v>
      </c>
      <c r="E29" s="67">
        <v>113212.11</v>
      </c>
      <c r="F29" s="67"/>
      <c r="G29" s="67"/>
      <c r="H29" s="67">
        <v>33964</v>
      </c>
      <c r="I29" s="67">
        <v>79248.11</v>
      </c>
      <c r="J29" s="51"/>
    </row>
    <row r="30" spans="1:10" s="37" customFormat="1" ht="50.25" customHeight="1" x14ac:dyDescent="0.25">
      <c r="A30" s="81">
        <v>25</v>
      </c>
      <c r="B30" s="65" t="s">
        <v>144</v>
      </c>
      <c r="C30" s="66" t="s">
        <v>146</v>
      </c>
      <c r="D30" s="66" t="s">
        <v>131</v>
      </c>
      <c r="E30" s="67">
        <v>1000</v>
      </c>
      <c r="F30" s="67"/>
      <c r="G30" s="67"/>
      <c r="H30" s="67">
        <f>E30</f>
        <v>1000</v>
      </c>
      <c r="I30" s="67"/>
      <c r="J30" s="51"/>
    </row>
    <row r="31" spans="1:10" s="37" customFormat="1" ht="55.5" customHeight="1" x14ac:dyDescent="0.25">
      <c r="A31" s="81">
        <v>26</v>
      </c>
      <c r="B31" s="65" t="s">
        <v>145</v>
      </c>
      <c r="C31" s="66" t="s">
        <v>146</v>
      </c>
      <c r="D31" s="66" t="s">
        <v>131</v>
      </c>
      <c r="E31" s="67">
        <v>1000</v>
      </c>
      <c r="F31" s="67"/>
      <c r="G31" s="67"/>
      <c r="H31" s="67">
        <f t="shared" ref="H31:H34" si="0">E31</f>
        <v>1000</v>
      </c>
      <c r="I31" s="67"/>
      <c r="J31" s="51"/>
    </row>
    <row r="32" spans="1:10" s="37" customFormat="1" ht="53.25" customHeight="1" x14ac:dyDescent="0.25">
      <c r="A32" s="81">
        <v>27</v>
      </c>
      <c r="B32" s="65" t="s">
        <v>147</v>
      </c>
      <c r="C32" s="66" t="s">
        <v>146</v>
      </c>
      <c r="D32" s="66" t="s">
        <v>131</v>
      </c>
      <c r="E32" s="67">
        <v>1000</v>
      </c>
      <c r="F32" s="67"/>
      <c r="G32" s="67"/>
      <c r="H32" s="67">
        <f t="shared" si="0"/>
        <v>1000</v>
      </c>
      <c r="I32" s="67"/>
      <c r="J32" s="51"/>
    </row>
    <row r="33" spans="1:10" s="37" customFormat="1" ht="47.25" customHeight="1" x14ac:dyDescent="0.25">
      <c r="A33" s="81">
        <v>28</v>
      </c>
      <c r="B33" s="65" t="s">
        <v>148</v>
      </c>
      <c r="C33" s="66" t="s">
        <v>146</v>
      </c>
      <c r="D33" s="66" t="s">
        <v>131</v>
      </c>
      <c r="E33" s="67">
        <v>5000</v>
      </c>
      <c r="F33" s="67"/>
      <c r="G33" s="67"/>
      <c r="H33" s="67">
        <f t="shared" si="0"/>
        <v>5000</v>
      </c>
      <c r="I33" s="67"/>
      <c r="J33" s="51"/>
    </row>
    <row r="34" spans="1:10" s="37" customFormat="1" ht="51" customHeight="1" x14ac:dyDescent="0.25">
      <c r="A34" s="81">
        <v>29</v>
      </c>
      <c r="B34" s="65" t="s">
        <v>149</v>
      </c>
      <c r="C34" s="66" t="s">
        <v>146</v>
      </c>
      <c r="D34" s="66" t="s">
        <v>131</v>
      </c>
      <c r="E34" s="67">
        <v>5000</v>
      </c>
      <c r="F34" s="67"/>
      <c r="G34" s="67"/>
      <c r="H34" s="67">
        <f t="shared" si="0"/>
        <v>5000</v>
      </c>
      <c r="I34" s="67"/>
      <c r="J34" s="51"/>
    </row>
    <row r="35" spans="1:10" s="37" customFormat="1" ht="45" customHeight="1" x14ac:dyDescent="0.25">
      <c r="A35" s="81">
        <v>30</v>
      </c>
      <c r="B35" s="65" t="s">
        <v>151</v>
      </c>
      <c r="C35" s="66" t="s">
        <v>146</v>
      </c>
      <c r="D35" s="66" t="s">
        <v>131</v>
      </c>
      <c r="E35" s="67">
        <v>4000</v>
      </c>
      <c r="F35" s="67"/>
      <c r="G35" s="67"/>
      <c r="H35" s="67">
        <f>E35</f>
        <v>4000</v>
      </c>
      <c r="I35" s="67"/>
      <c r="J35" s="51"/>
    </row>
    <row r="36" spans="1:10" s="37" customFormat="1" ht="54" customHeight="1" x14ac:dyDescent="0.25">
      <c r="A36" s="81">
        <v>31</v>
      </c>
      <c r="B36" s="69" t="s">
        <v>150</v>
      </c>
      <c r="C36" s="66" t="s">
        <v>97</v>
      </c>
      <c r="D36" s="66" t="s">
        <v>131</v>
      </c>
      <c r="E36" s="67">
        <v>60000</v>
      </c>
      <c r="F36" s="67"/>
      <c r="G36" s="67"/>
      <c r="H36" s="67">
        <v>18000</v>
      </c>
      <c r="I36" s="67">
        <v>42000</v>
      </c>
      <c r="J36" s="51"/>
    </row>
    <row r="37" spans="1:10" s="37" customFormat="1" ht="58.5" customHeight="1" x14ac:dyDescent="0.25">
      <c r="A37" s="81">
        <v>32</v>
      </c>
      <c r="B37" s="70" t="s">
        <v>82</v>
      </c>
      <c r="C37" s="66" t="s">
        <v>85</v>
      </c>
      <c r="D37" s="66">
        <v>2025</v>
      </c>
      <c r="E37" s="56">
        <v>950</v>
      </c>
      <c r="F37" s="67"/>
      <c r="G37" s="67"/>
      <c r="H37" s="67">
        <f>E37</f>
        <v>950</v>
      </c>
      <c r="I37" s="67"/>
      <c r="J37" s="51"/>
    </row>
    <row r="38" spans="1:10" s="37" customFormat="1" ht="41.25" customHeight="1" x14ac:dyDescent="0.25">
      <c r="A38" s="81">
        <v>33</v>
      </c>
      <c r="B38" s="70" t="s">
        <v>83</v>
      </c>
      <c r="C38" s="66" t="s">
        <v>85</v>
      </c>
      <c r="D38" s="66">
        <v>2025</v>
      </c>
      <c r="E38" s="56">
        <v>900</v>
      </c>
      <c r="F38" s="67"/>
      <c r="G38" s="67"/>
      <c r="H38" s="67">
        <f t="shared" ref="H38:H73" si="1">E38</f>
        <v>900</v>
      </c>
      <c r="I38" s="67"/>
      <c r="J38" s="51"/>
    </row>
    <row r="39" spans="1:10" s="37" customFormat="1" ht="60" customHeight="1" x14ac:dyDescent="0.25">
      <c r="A39" s="81">
        <v>34</v>
      </c>
      <c r="B39" s="70" t="s">
        <v>84</v>
      </c>
      <c r="C39" s="66" t="s">
        <v>85</v>
      </c>
      <c r="D39" s="66">
        <v>2025</v>
      </c>
      <c r="E39" s="56">
        <v>550</v>
      </c>
      <c r="F39" s="67"/>
      <c r="G39" s="67"/>
      <c r="H39" s="67">
        <f t="shared" si="1"/>
        <v>550</v>
      </c>
      <c r="I39" s="67"/>
      <c r="J39" s="51"/>
    </row>
    <row r="40" spans="1:10" s="37" customFormat="1" ht="51" customHeight="1" x14ac:dyDescent="0.25">
      <c r="A40" s="81">
        <v>35</v>
      </c>
      <c r="B40" s="70" t="s">
        <v>86</v>
      </c>
      <c r="C40" s="66" t="s">
        <v>85</v>
      </c>
      <c r="D40" s="66">
        <v>2025</v>
      </c>
      <c r="E40" s="56">
        <v>800</v>
      </c>
      <c r="F40" s="67"/>
      <c r="G40" s="67"/>
      <c r="H40" s="67">
        <f t="shared" si="1"/>
        <v>800</v>
      </c>
      <c r="I40" s="67"/>
      <c r="J40" s="51"/>
    </row>
    <row r="41" spans="1:10" s="37" customFormat="1" ht="66.75" customHeight="1" x14ac:dyDescent="0.25">
      <c r="A41" s="81">
        <v>36</v>
      </c>
      <c r="B41" s="70" t="s">
        <v>87</v>
      </c>
      <c r="C41" s="66" t="s">
        <v>85</v>
      </c>
      <c r="D41" s="71">
        <v>2025</v>
      </c>
      <c r="E41" s="68">
        <v>4983.5479999999998</v>
      </c>
      <c r="F41" s="67"/>
      <c r="G41" s="67"/>
      <c r="H41" s="67">
        <f t="shared" si="1"/>
        <v>4983.5479999999998</v>
      </c>
      <c r="I41" s="67"/>
      <c r="J41" s="51"/>
    </row>
    <row r="42" spans="1:10" s="37" customFormat="1" ht="54" customHeight="1" x14ac:dyDescent="0.25">
      <c r="A42" s="81">
        <v>37</v>
      </c>
      <c r="B42" s="70" t="s">
        <v>88</v>
      </c>
      <c r="C42" s="66" t="s">
        <v>85</v>
      </c>
      <c r="D42" s="66">
        <v>2025</v>
      </c>
      <c r="E42" s="68">
        <v>4816.2780000000002</v>
      </c>
      <c r="F42" s="67"/>
      <c r="G42" s="67"/>
      <c r="H42" s="67">
        <f t="shared" si="1"/>
        <v>4816.2780000000002</v>
      </c>
      <c r="I42" s="67"/>
      <c r="J42" s="51"/>
    </row>
    <row r="43" spans="1:10" s="37" customFormat="1" ht="73.5" customHeight="1" x14ac:dyDescent="0.25">
      <c r="A43" s="81">
        <v>38</v>
      </c>
      <c r="B43" s="70" t="s">
        <v>89</v>
      </c>
      <c r="C43" s="66" t="s">
        <v>85</v>
      </c>
      <c r="D43" s="66">
        <v>2025</v>
      </c>
      <c r="E43" s="72">
        <v>860</v>
      </c>
      <c r="F43" s="67"/>
      <c r="G43" s="67"/>
      <c r="H43" s="67">
        <f t="shared" si="1"/>
        <v>860</v>
      </c>
      <c r="I43" s="67"/>
      <c r="J43" s="51"/>
    </row>
    <row r="44" spans="1:10" s="37" customFormat="1" ht="99" customHeight="1" x14ac:dyDescent="0.25">
      <c r="A44" s="81">
        <v>39</v>
      </c>
      <c r="B44" s="73" t="s">
        <v>90</v>
      </c>
      <c r="C44" s="66" t="s">
        <v>85</v>
      </c>
      <c r="D44" s="66">
        <v>2025</v>
      </c>
      <c r="E44" s="72">
        <v>1264.4639999999999</v>
      </c>
      <c r="F44" s="67"/>
      <c r="G44" s="67"/>
      <c r="H44" s="67">
        <f t="shared" si="1"/>
        <v>1264.4639999999999</v>
      </c>
      <c r="I44" s="67"/>
      <c r="J44" s="51"/>
    </row>
    <row r="45" spans="1:10" s="37" customFormat="1" ht="73.5" customHeight="1" x14ac:dyDescent="0.25">
      <c r="A45" s="81">
        <v>40</v>
      </c>
      <c r="B45" s="70" t="s">
        <v>91</v>
      </c>
      <c r="C45" s="66" t="s">
        <v>85</v>
      </c>
      <c r="D45" s="66">
        <v>2025</v>
      </c>
      <c r="E45" s="56">
        <v>2325.087</v>
      </c>
      <c r="F45" s="67"/>
      <c r="G45" s="67"/>
      <c r="H45" s="67">
        <f t="shared" si="1"/>
        <v>2325.087</v>
      </c>
      <c r="I45" s="67"/>
      <c r="J45" s="51"/>
    </row>
    <row r="46" spans="1:10" s="37" customFormat="1" ht="73.5" customHeight="1" x14ac:dyDescent="0.25">
      <c r="A46" s="81">
        <v>41</v>
      </c>
      <c r="B46" s="70" t="s">
        <v>92</v>
      </c>
      <c r="C46" s="66" t="s">
        <v>85</v>
      </c>
      <c r="D46" s="66">
        <v>2025</v>
      </c>
      <c r="E46" s="56">
        <v>5224.9799999999996</v>
      </c>
      <c r="F46" s="67"/>
      <c r="G46" s="67"/>
      <c r="H46" s="67">
        <f>E46</f>
        <v>5224.9799999999996</v>
      </c>
      <c r="I46" s="67"/>
      <c r="J46" s="51"/>
    </row>
    <row r="47" spans="1:10" s="37" customFormat="1" ht="73.5" customHeight="1" x14ac:dyDescent="0.25">
      <c r="A47" s="81">
        <v>42</v>
      </c>
      <c r="B47" s="70" t="s">
        <v>93</v>
      </c>
      <c r="C47" s="66" t="s">
        <v>85</v>
      </c>
      <c r="D47" s="66">
        <v>2025</v>
      </c>
      <c r="E47" s="74">
        <v>5193.4170000000004</v>
      </c>
      <c r="F47" s="67"/>
      <c r="G47" s="67"/>
      <c r="H47" s="67">
        <f t="shared" si="1"/>
        <v>5193.4170000000004</v>
      </c>
      <c r="I47" s="67"/>
      <c r="J47" s="51"/>
    </row>
    <row r="48" spans="1:10" s="37" customFormat="1" ht="39.75" customHeight="1" x14ac:dyDescent="0.25">
      <c r="A48" s="81">
        <v>43</v>
      </c>
      <c r="B48" s="70" t="s">
        <v>94</v>
      </c>
      <c r="C48" s="66" t="s">
        <v>85</v>
      </c>
      <c r="D48" s="66">
        <v>2025</v>
      </c>
      <c r="E48" s="74">
        <v>1728</v>
      </c>
      <c r="F48" s="67"/>
      <c r="G48" s="67"/>
      <c r="H48" s="67">
        <f t="shared" si="1"/>
        <v>1728</v>
      </c>
      <c r="I48" s="67"/>
      <c r="J48" s="51"/>
    </row>
    <row r="49" spans="1:10" s="37" customFormat="1" ht="50.25" customHeight="1" x14ac:dyDescent="0.25">
      <c r="A49" s="81">
        <v>44</v>
      </c>
      <c r="B49" s="70" t="s">
        <v>95</v>
      </c>
      <c r="C49" s="66" t="s">
        <v>85</v>
      </c>
      <c r="D49" s="66">
        <v>2025</v>
      </c>
      <c r="E49" s="74">
        <v>250</v>
      </c>
      <c r="F49" s="67"/>
      <c r="G49" s="67"/>
      <c r="H49" s="67">
        <f t="shared" si="1"/>
        <v>250</v>
      </c>
      <c r="I49" s="67"/>
      <c r="J49" s="51"/>
    </row>
    <row r="50" spans="1:10" s="37" customFormat="1" ht="50.25" customHeight="1" x14ac:dyDescent="0.25">
      <c r="A50" s="81">
        <v>45</v>
      </c>
      <c r="B50" s="70" t="s">
        <v>96</v>
      </c>
      <c r="C50" s="66" t="s">
        <v>85</v>
      </c>
      <c r="D50" s="66">
        <v>2025</v>
      </c>
      <c r="E50" s="74">
        <v>333</v>
      </c>
      <c r="F50" s="67"/>
      <c r="G50" s="67"/>
      <c r="H50" s="67">
        <f>E50</f>
        <v>333</v>
      </c>
      <c r="I50" s="67"/>
      <c r="J50" s="51"/>
    </row>
    <row r="51" spans="1:10" s="37" customFormat="1" ht="44.25" customHeight="1" x14ac:dyDescent="0.25">
      <c r="A51" s="81">
        <v>46</v>
      </c>
      <c r="B51" s="65" t="s">
        <v>98</v>
      </c>
      <c r="C51" s="66" t="s">
        <v>85</v>
      </c>
      <c r="D51" s="66">
        <v>2025</v>
      </c>
      <c r="E51" s="74">
        <v>300</v>
      </c>
      <c r="F51" s="67"/>
      <c r="G51" s="67"/>
      <c r="H51" s="67">
        <f t="shared" si="1"/>
        <v>300</v>
      </c>
      <c r="I51" s="67"/>
      <c r="J51" s="51"/>
    </row>
    <row r="52" spans="1:10" s="37" customFormat="1" ht="47.25" customHeight="1" x14ac:dyDescent="0.25">
      <c r="A52" s="81">
        <v>47</v>
      </c>
      <c r="B52" s="70" t="s">
        <v>99</v>
      </c>
      <c r="C52" s="66" t="s">
        <v>85</v>
      </c>
      <c r="D52" s="71">
        <v>2026</v>
      </c>
      <c r="E52" s="74">
        <v>900</v>
      </c>
      <c r="F52" s="67"/>
      <c r="G52" s="67"/>
      <c r="H52" s="67">
        <f t="shared" si="1"/>
        <v>900</v>
      </c>
      <c r="I52" s="67"/>
      <c r="J52" s="51"/>
    </row>
    <row r="53" spans="1:10" s="37" customFormat="1" ht="66" customHeight="1" x14ac:dyDescent="0.25">
      <c r="A53" s="81">
        <v>48</v>
      </c>
      <c r="B53" s="70" t="s">
        <v>100</v>
      </c>
      <c r="C53" s="66" t="s">
        <v>85</v>
      </c>
      <c r="D53" s="71">
        <v>2026</v>
      </c>
      <c r="E53" s="74">
        <v>500</v>
      </c>
      <c r="F53" s="67"/>
      <c r="G53" s="67"/>
      <c r="H53" s="67">
        <f t="shared" si="1"/>
        <v>500</v>
      </c>
      <c r="I53" s="67"/>
      <c r="J53" s="51"/>
    </row>
    <row r="54" spans="1:10" s="37" customFormat="1" ht="54.75" customHeight="1" x14ac:dyDescent="0.25">
      <c r="A54" s="81">
        <v>49</v>
      </c>
      <c r="B54" s="70" t="s">
        <v>101</v>
      </c>
      <c r="C54" s="66" t="s">
        <v>85</v>
      </c>
      <c r="D54" s="71">
        <v>2026</v>
      </c>
      <c r="E54" s="56">
        <v>20000</v>
      </c>
      <c r="F54" s="67"/>
      <c r="G54" s="67"/>
      <c r="H54" s="67">
        <f t="shared" si="1"/>
        <v>20000</v>
      </c>
      <c r="I54" s="67"/>
      <c r="J54" s="51"/>
    </row>
    <row r="55" spans="1:10" s="37" customFormat="1" ht="66" customHeight="1" x14ac:dyDescent="0.25">
      <c r="A55" s="81">
        <v>50</v>
      </c>
      <c r="B55" s="70" t="s">
        <v>102</v>
      </c>
      <c r="C55" s="66" t="s">
        <v>85</v>
      </c>
      <c r="D55" s="71">
        <v>2026</v>
      </c>
      <c r="E55" s="74">
        <v>6000</v>
      </c>
      <c r="F55" s="67"/>
      <c r="G55" s="67"/>
      <c r="H55" s="67">
        <f>E55</f>
        <v>6000</v>
      </c>
      <c r="I55" s="67"/>
      <c r="J55" s="51"/>
    </row>
    <row r="56" spans="1:10" s="37" customFormat="1" ht="58.2" customHeight="1" x14ac:dyDescent="0.25">
      <c r="A56" s="81">
        <v>51</v>
      </c>
      <c r="B56" s="70" t="s">
        <v>103</v>
      </c>
      <c r="C56" s="66" t="s">
        <v>85</v>
      </c>
      <c r="D56" s="71">
        <v>2026</v>
      </c>
      <c r="E56" s="74">
        <v>5000</v>
      </c>
      <c r="F56" s="67"/>
      <c r="G56" s="67"/>
      <c r="H56" s="67">
        <f t="shared" si="1"/>
        <v>5000</v>
      </c>
      <c r="I56" s="67"/>
      <c r="J56" s="51"/>
    </row>
    <row r="57" spans="1:10" s="37" customFormat="1" ht="66" customHeight="1" x14ac:dyDescent="0.25">
      <c r="A57" s="81">
        <v>52</v>
      </c>
      <c r="B57" s="70" t="s">
        <v>104</v>
      </c>
      <c r="C57" s="66" t="s">
        <v>85</v>
      </c>
      <c r="D57" s="71">
        <v>2026</v>
      </c>
      <c r="E57" s="74">
        <v>400</v>
      </c>
      <c r="F57" s="67"/>
      <c r="G57" s="67"/>
      <c r="H57" s="67">
        <f t="shared" si="1"/>
        <v>400</v>
      </c>
      <c r="I57" s="67"/>
      <c r="J57" s="51"/>
    </row>
    <row r="58" spans="1:10" s="37" customFormat="1" ht="53.4" customHeight="1" x14ac:dyDescent="0.25">
      <c r="A58" s="81">
        <v>53</v>
      </c>
      <c r="B58" s="70" t="s">
        <v>105</v>
      </c>
      <c r="C58" s="66" t="s">
        <v>85</v>
      </c>
      <c r="D58" s="71">
        <v>2026</v>
      </c>
      <c r="E58" s="74">
        <v>1000</v>
      </c>
      <c r="F58" s="67"/>
      <c r="G58" s="67"/>
      <c r="H58" s="67">
        <f t="shared" si="1"/>
        <v>1000</v>
      </c>
      <c r="I58" s="67"/>
      <c r="J58" s="51"/>
    </row>
    <row r="59" spans="1:10" s="37" customFormat="1" ht="66" customHeight="1" x14ac:dyDescent="0.25">
      <c r="A59" s="81">
        <v>54</v>
      </c>
      <c r="B59" s="70" t="s">
        <v>106</v>
      </c>
      <c r="C59" s="66" t="s">
        <v>85</v>
      </c>
      <c r="D59" s="71">
        <v>2026</v>
      </c>
      <c r="E59" s="74">
        <v>600</v>
      </c>
      <c r="F59" s="67"/>
      <c r="G59" s="67"/>
      <c r="H59" s="67">
        <f t="shared" si="1"/>
        <v>600</v>
      </c>
      <c r="I59" s="67"/>
      <c r="J59" s="51"/>
    </row>
    <row r="60" spans="1:10" s="37" customFormat="1" ht="48.75" customHeight="1" x14ac:dyDescent="0.25">
      <c r="A60" s="81">
        <v>55</v>
      </c>
      <c r="B60" s="70" t="s">
        <v>107</v>
      </c>
      <c r="C60" s="66" t="s">
        <v>85</v>
      </c>
      <c r="D60" s="71">
        <v>2026</v>
      </c>
      <c r="E60" s="74">
        <v>4000</v>
      </c>
      <c r="F60" s="67"/>
      <c r="G60" s="67"/>
      <c r="H60" s="67">
        <f t="shared" si="1"/>
        <v>4000</v>
      </c>
      <c r="I60" s="67"/>
      <c r="J60" s="51"/>
    </row>
    <row r="61" spans="1:10" s="37" customFormat="1" ht="47.25" customHeight="1" x14ac:dyDescent="0.25">
      <c r="A61" s="81">
        <v>56</v>
      </c>
      <c r="B61" s="70" t="s">
        <v>108</v>
      </c>
      <c r="C61" s="66" t="s">
        <v>85</v>
      </c>
      <c r="D61" s="71">
        <v>2026</v>
      </c>
      <c r="E61" s="74">
        <v>600</v>
      </c>
      <c r="F61" s="67"/>
      <c r="G61" s="67"/>
      <c r="H61" s="67">
        <f>E61</f>
        <v>600</v>
      </c>
      <c r="I61" s="67"/>
      <c r="J61" s="51"/>
    </row>
    <row r="62" spans="1:10" s="37" customFormat="1" ht="52.5" customHeight="1" x14ac:dyDescent="0.25">
      <c r="A62" s="81">
        <v>57</v>
      </c>
      <c r="B62" s="70" t="s">
        <v>109</v>
      </c>
      <c r="C62" s="66" t="s">
        <v>85</v>
      </c>
      <c r="D62" s="71">
        <v>2026</v>
      </c>
      <c r="E62" s="74">
        <v>8300</v>
      </c>
      <c r="F62" s="67"/>
      <c r="G62" s="67"/>
      <c r="H62" s="67">
        <f t="shared" si="1"/>
        <v>8300</v>
      </c>
      <c r="I62" s="67"/>
      <c r="J62" s="51"/>
    </row>
    <row r="63" spans="1:10" s="37" customFormat="1" ht="44.25" customHeight="1" x14ac:dyDescent="0.25">
      <c r="A63" s="81">
        <v>58</v>
      </c>
      <c r="B63" s="65" t="s">
        <v>110</v>
      </c>
      <c r="C63" s="66" t="s">
        <v>85</v>
      </c>
      <c r="D63" s="71">
        <v>2027</v>
      </c>
      <c r="E63" s="74">
        <v>400</v>
      </c>
      <c r="F63" s="67"/>
      <c r="G63" s="67"/>
      <c r="H63" s="67">
        <f t="shared" si="1"/>
        <v>400</v>
      </c>
      <c r="I63" s="67"/>
      <c r="J63" s="51"/>
    </row>
    <row r="64" spans="1:10" s="37" customFormat="1" ht="48" customHeight="1" x14ac:dyDescent="0.25">
      <c r="A64" s="81">
        <v>59</v>
      </c>
      <c r="B64" s="65" t="s">
        <v>120</v>
      </c>
      <c r="C64" s="66" t="s">
        <v>85</v>
      </c>
      <c r="D64" s="71">
        <v>2027</v>
      </c>
      <c r="E64" s="56">
        <v>2000</v>
      </c>
      <c r="F64" s="67"/>
      <c r="G64" s="67"/>
      <c r="H64" s="67">
        <f t="shared" si="1"/>
        <v>2000</v>
      </c>
      <c r="I64" s="67"/>
      <c r="J64" s="51"/>
    </row>
    <row r="65" spans="1:10" s="37" customFormat="1" ht="46.5" customHeight="1" x14ac:dyDescent="0.25">
      <c r="A65" s="81">
        <v>60</v>
      </c>
      <c r="B65" s="70" t="s">
        <v>111</v>
      </c>
      <c r="C65" s="66" t="s">
        <v>85</v>
      </c>
      <c r="D65" s="71">
        <v>2027</v>
      </c>
      <c r="E65" s="56">
        <v>3000</v>
      </c>
      <c r="F65" s="67"/>
      <c r="G65" s="67"/>
      <c r="H65" s="67">
        <f t="shared" si="1"/>
        <v>3000</v>
      </c>
      <c r="I65" s="67"/>
      <c r="J65" s="51"/>
    </row>
    <row r="66" spans="1:10" s="37" customFormat="1" ht="66" customHeight="1" x14ac:dyDescent="0.25">
      <c r="A66" s="81">
        <v>61</v>
      </c>
      <c r="B66" s="70" t="s">
        <v>112</v>
      </c>
      <c r="C66" s="66" t="s">
        <v>85</v>
      </c>
      <c r="D66" s="71">
        <v>2027</v>
      </c>
      <c r="E66" s="74">
        <v>300</v>
      </c>
      <c r="F66" s="75"/>
      <c r="G66" s="75"/>
      <c r="H66" s="67">
        <f t="shared" si="1"/>
        <v>300</v>
      </c>
      <c r="I66" s="75"/>
      <c r="J66" s="51"/>
    </row>
    <row r="67" spans="1:10" s="37" customFormat="1" ht="42" customHeight="1" x14ac:dyDescent="0.25">
      <c r="A67" s="81">
        <v>62</v>
      </c>
      <c r="B67" s="65" t="s">
        <v>113</v>
      </c>
      <c r="C67" s="66" t="s">
        <v>85</v>
      </c>
      <c r="D67" s="76">
        <v>2028</v>
      </c>
      <c r="E67" s="74">
        <v>5000</v>
      </c>
      <c r="F67" s="75"/>
      <c r="G67" s="75"/>
      <c r="H67" s="67">
        <f>E67</f>
        <v>5000</v>
      </c>
      <c r="I67" s="75"/>
      <c r="J67" s="51"/>
    </row>
    <row r="68" spans="1:10" s="37" customFormat="1" ht="38.25" customHeight="1" x14ac:dyDescent="0.25">
      <c r="A68" s="81">
        <v>63</v>
      </c>
      <c r="B68" s="65" t="s">
        <v>114</v>
      </c>
      <c r="C68" s="66" t="s">
        <v>85</v>
      </c>
      <c r="D68" s="76">
        <v>2028</v>
      </c>
      <c r="E68" s="74">
        <v>600</v>
      </c>
      <c r="F68" s="75"/>
      <c r="G68" s="75"/>
      <c r="H68" s="67">
        <f t="shared" si="1"/>
        <v>600</v>
      </c>
      <c r="I68" s="75"/>
      <c r="J68" s="51"/>
    </row>
    <row r="69" spans="1:10" s="37" customFormat="1" ht="49.2" customHeight="1" x14ac:dyDescent="0.25">
      <c r="A69" s="81">
        <v>64</v>
      </c>
      <c r="B69" s="65" t="s">
        <v>115</v>
      </c>
      <c r="C69" s="66" t="s">
        <v>85</v>
      </c>
      <c r="D69" s="76">
        <v>2028</v>
      </c>
      <c r="E69" s="56">
        <v>1500</v>
      </c>
      <c r="F69" s="75"/>
      <c r="G69" s="75"/>
      <c r="H69" s="67">
        <f t="shared" si="1"/>
        <v>1500</v>
      </c>
      <c r="I69" s="75"/>
      <c r="J69" s="51"/>
    </row>
    <row r="70" spans="1:10" s="37" customFormat="1" ht="49.2" customHeight="1" x14ac:dyDescent="0.25">
      <c r="A70" s="81">
        <v>65</v>
      </c>
      <c r="B70" s="65" t="s">
        <v>116</v>
      </c>
      <c r="C70" s="66" t="s">
        <v>85</v>
      </c>
      <c r="D70" s="76">
        <v>2028</v>
      </c>
      <c r="E70" s="74">
        <v>800</v>
      </c>
      <c r="F70" s="75"/>
      <c r="G70" s="75"/>
      <c r="H70" s="67">
        <f>E70</f>
        <v>800</v>
      </c>
      <c r="I70" s="75"/>
      <c r="J70" s="51"/>
    </row>
    <row r="71" spans="1:10" s="37" customFormat="1" ht="43.2" customHeight="1" x14ac:dyDescent="0.25">
      <c r="A71" s="81">
        <v>66</v>
      </c>
      <c r="B71" s="65" t="s">
        <v>117</v>
      </c>
      <c r="C71" s="66" t="s">
        <v>85</v>
      </c>
      <c r="D71" s="76">
        <v>2028</v>
      </c>
      <c r="E71" s="74">
        <v>600</v>
      </c>
      <c r="F71" s="75"/>
      <c r="G71" s="75"/>
      <c r="H71" s="67">
        <f t="shared" si="1"/>
        <v>600</v>
      </c>
      <c r="I71" s="75"/>
      <c r="J71" s="51"/>
    </row>
    <row r="72" spans="1:10" s="37" customFormat="1" ht="50.25" customHeight="1" x14ac:dyDescent="0.25">
      <c r="A72" s="81">
        <v>67</v>
      </c>
      <c r="B72" s="65" t="s">
        <v>118</v>
      </c>
      <c r="C72" s="66" t="s">
        <v>85</v>
      </c>
      <c r="D72" s="76">
        <v>2028</v>
      </c>
      <c r="E72" s="74">
        <v>600</v>
      </c>
      <c r="F72" s="75"/>
      <c r="G72" s="75"/>
      <c r="H72" s="67">
        <f t="shared" si="1"/>
        <v>600</v>
      </c>
      <c r="I72" s="75"/>
      <c r="J72" s="51"/>
    </row>
    <row r="73" spans="1:10" s="37" customFormat="1" ht="54.75" customHeight="1" x14ac:dyDescent="0.25">
      <c r="A73" s="81">
        <v>68</v>
      </c>
      <c r="B73" s="65" t="s">
        <v>119</v>
      </c>
      <c r="C73" s="66" t="s">
        <v>85</v>
      </c>
      <c r="D73" s="76">
        <v>2028</v>
      </c>
      <c r="E73" s="74">
        <v>300</v>
      </c>
      <c r="F73" s="75"/>
      <c r="G73" s="75"/>
      <c r="H73" s="67">
        <f t="shared" si="1"/>
        <v>300</v>
      </c>
      <c r="I73" s="75"/>
      <c r="J73" s="51"/>
    </row>
    <row r="74" spans="1:10" s="52" customFormat="1" ht="29.25" customHeight="1" x14ac:dyDescent="0.25">
      <c r="A74" s="80"/>
      <c r="B74" s="55" t="s">
        <v>80</v>
      </c>
      <c r="C74" s="55"/>
      <c r="D74" s="63"/>
      <c r="E74" s="77">
        <f>SUM(E6:E73)</f>
        <v>522219.29</v>
      </c>
      <c r="F74" s="77">
        <f>SUM(F6:F73)</f>
        <v>25873.67</v>
      </c>
      <c r="G74" s="77">
        <f>SUM(G6:G73)</f>
        <v>82543</v>
      </c>
      <c r="H74" s="77">
        <f>SUM(H6:H73)</f>
        <v>270312.43099999998</v>
      </c>
      <c r="I74" s="77">
        <f>SUM(I6:I73)</f>
        <v>143490.18900000001</v>
      </c>
      <c r="J74" s="53"/>
    </row>
    <row r="75" spans="1:10" s="37" customFormat="1" ht="18" customHeight="1" x14ac:dyDescent="0.25">
      <c r="B75" s="43"/>
      <c r="C75" s="43"/>
      <c r="D75" s="59"/>
      <c r="E75" s="102"/>
      <c r="F75" s="102"/>
      <c r="G75" s="102"/>
      <c r="H75" s="102"/>
      <c r="I75" s="103"/>
      <c r="J75" s="48"/>
    </row>
    <row r="76" spans="1:10" s="37" customFormat="1" ht="15.75" customHeight="1" x14ac:dyDescent="0.3">
      <c r="B76" s="43"/>
      <c r="C76" s="57"/>
      <c r="D76" s="57"/>
      <c r="E76" s="90"/>
      <c r="F76" s="90"/>
      <c r="G76" s="90"/>
      <c r="H76" s="54"/>
      <c r="I76" s="58"/>
      <c r="J76" s="47"/>
    </row>
    <row r="77" spans="1:10" s="39" customFormat="1" ht="23.25" customHeight="1" x14ac:dyDescent="0.3">
      <c r="B77" s="82" t="s">
        <v>163</v>
      </c>
      <c r="C77" s="83"/>
      <c r="D77" s="83"/>
      <c r="E77" s="84"/>
      <c r="F77" s="84"/>
      <c r="G77" s="84" t="s">
        <v>164</v>
      </c>
      <c r="H77" s="84"/>
      <c r="I77" s="46"/>
    </row>
    <row r="78" spans="1:10" s="39" customFormat="1" ht="17.399999999999999" x14ac:dyDescent="0.3">
      <c r="B78" s="82"/>
      <c r="C78" s="83"/>
      <c r="D78" s="83"/>
      <c r="E78" s="84"/>
      <c r="F78" s="84"/>
      <c r="G78" s="84"/>
      <c r="H78" s="84"/>
      <c r="I78" s="46"/>
    </row>
    <row r="79" spans="1:10" s="39" customFormat="1" ht="15" x14ac:dyDescent="0.25">
      <c r="B79" s="44"/>
      <c r="E79" s="46"/>
      <c r="F79" s="46"/>
      <c r="G79" s="46"/>
      <c r="H79" s="46"/>
      <c r="I79" s="46"/>
    </row>
    <row r="80" spans="1:10" s="39" customFormat="1" ht="15" x14ac:dyDescent="0.25">
      <c r="B80" s="40"/>
      <c r="C80" s="38"/>
      <c r="D80" s="38"/>
      <c r="E80" s="45"/>
      <c r="F80" s="45"/>
      <c r="G80" s="45"/>
      <c r="H80" s="45"/>
      <c r="I80" s="45"/>
    </row>
  </sheetData>
  <mergeCells count="34">
    <mergeCell ref="B4:B5"/>
    <mergeCell ref="C4:C5"/>
    <mergeCell ref="D4:D5"/>
    <mergeCell ref="E76:G76"/>
    <mergeCell ref="BC3:BJ3"/>
    <mergeCell ref="E4:I4"/>
    <mergeCell ref="HO3:HV3"/>
    <mergeCell ref="B3:I3"/>
    <mergeCell ref="O3:V3"/>
    <mergeCell ref="AE3:AL3"/>
    <mergeCell ref="CI3:CP3"/>
    <mergeCell ref="GY3:HF3"/>
    <mergeCell ref="GI3:GP3"/>
    <mergeCell ref="CY3:DF3"/>
    <mergeCell ref="EM3:ET3"/>
    <mergeCell ref="FC3:FJ3"/>
    <mergeCell ref="FK3:FR3"/>
    <mergeCell ref="FS3:FZ3"/>
    <mergeCell ref="GQ3:GX3"/>
    <mergeCell ref="DG3:DN3"/>
    <mergeCell ref="EE3:EL3"/>
    <mergeCell ref="GA3:GH3"/>
    <mergeCell ref="F1:I1"/>
    <mergeCell ref="HG3:HN3"/>
    <mergeCell ref="EU3:FB3"/>
    <mergeCell ref="CQ3:CX3"/>
    <mergeCell ref="BS3:BZ3"/>
    <mergeCell ref="CA3:CH3"/>
    <mergeCell ref="AM3:AT3"/>
    <mergeCell ref="DO3:DV3"/>
    <mergeCell ref="DW3:ED3"/>
    <mergeCell ref="BK3:BR3"/>
    <mergeCell ref="AU3:BB3"/>
    <mergeCell ref="W3:AD3"/>
  </mergeCells>
  <phoneticPr fontId="0" type="noConversion"/>
  <pageMargins left="0.59055118110236227" right="0.39370078740157483" top="0.78740157480314965" bottom="0.19685039370078741" header="0.51181102362204722" footer="0"/>
  <pageSetup paperSize="9" scale="63" fitToHeight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H69"/>
  <sheetViews>
    <sheetView topLeftCell="A24" zoomScaleSheetLayoutView="100" workbookViewId="0">
      <selection activeCell="C29" sqref="C29"/>
    </sheetView>
  </sheetViews>
  <sheetFormatPr defaultColWidth="9.109375" defaultRowHeight="13.2" x14ac:dyDescent="0.25"/>
  <cols>
    <col min="1" max="1" width="19.6640625" style="1" customWidth="1"/>
    <col min="2" max="2" width="3.88671875" style="1" customWidth="1"/>
    <col min="3" max="3" width="55.6640625" style="1" customWidth="1"/>
    <col min="4" max="4" width="11" style="1" customWidth="1"/>
    <col min="5" max="5" width="12" style="1" customWidth="1"/>
    <col min="6" max="6" width="10.44140625" style="1" customWidth="1"/>
    <col min="7" max="7" width="13.6640625" style="1" customWidth="1"/>
    <col min="8" max="8" width="10" style="1" customWidth="1"/>
    <col min="9" max="9" width="12.5546875" style="1" customWidth="1"/>
    <col min="10" max="16384" width="9.109375" style="1"/>
  </cols>
  <sheetData>
    <row r="1" spans="1:242" x14ac:dyDescent="0.25">
      <c r="A1" s="101" t="s">
        <v>13</v>
      </c>
      <c r="B1" s="101"/>
      <c r="C1" s="101"/>
      <c r="D1" s="101"/>
      <c r="E1" s="101"/>
      <c r="F1" s="26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</row>
    <row r="2" spans="1:242" ht="12.75" customHeight="1" x14ac:dyDescent="0.25">
      <c r="A2" s="97" t="s">
        <v>15</v>
      </c>
      <c r="B2" s="97"/>
      <c r="C2" s="97"/>
      <c r="D2" s="97"/>
      <c r="E2" s="97"/>
    </row>
    <row r="3" spans="1:242" ht="15" customHeight="1" x14ac:dyDescent="0.25">
      <c r="A3" s="97"/>
      <c r="B3" s="97"/>
      <c r="C3" s="97"/>
      <c r="D3" s="97"/>
      <c r="E3" s="97"/>
    </row>
    <row r="4" spans="1:242" ht="12.75" customHeight="1" x14ac:dyDescent="0.25">
      <c r="A4" s="96" t="s">
        <v>0</v>
      </c>
      <c r="B4" s="96" t="s">
        <v>37</v>
      </c>
      <c r="C4" s="96"/>
      <c r="D4" s="96" t="s">
        <v>67</v>
      </c>
      <c r="E4" s="96"/>
      <c r="F4" s="96" t="s">
        <v>68</v>
      </c>
      <c r="G4" s="96"/>
      <c r="H4" s="96" t="s">
        <v>69</v>
      </c>
      <c r="I4" s="96"/>
    </row>
    <row r="5" spans="1:242" ht="12.75" customHeight="1" x14ac:dyDescent="0.25">
      <c r="A5" s="96"/>
      <c r="B5" s="96"/>
      <c r="C5" s="96"/>
      <c r="D5" s="96"/>
      <c r="E5" s="96"/>
      <c r="F5" s="96"/>
      <c r="G5" s="96"/>
      <c r="H5" s="96"/>
      <c r="I5" s="96"/>
    </row>
    <row r="6" spans="1:242" ht="28.5" customHeight="1" x14ac:dyDescent="0.25">
      <c r="A6" s="96"/>
      <c r="B6" s="96"/>
      <c r="C6" s="96"/>
      <c r="D6" s="27" t="s">
        <v>9</v>
      </c>
      <c r="E6" s="27" t="s">
        <v>17</v>
      </c>
      <c r="F6" s="27" t="s">
        <v>9</v>
      </c>
      <c r="G6" s="27" t="s">
        <v>17</v>
      </c>
      <c r="H6" s="27" t="s">
        <v>9</v>
      </c>
      <c r="I6" s="27" t="s">
        <v>17</v>
      </c>
    </row>
    <row r="7" spans="1:242" ht="15.75" customHeight="1" x14ac:dyDescent="0.25">
      <c r="A7" s="93" t="s">
        <v>29</v>
      </c>
      <c r="B7" s="30">
        <v>1</v>
      </c>
      <c r="C7" s="31" t="s">
        <v>30</v>
      </c>
      <c r="D7" s="32">
        <v>269</v>
      </c>
      <c r="E7" s="19">
        <f>39.841+52.17</f>
        <v>92.010999999999996</v>
      </c>
      <c r="F7" s="32">
        <f>H7-D7</f>
        <v>92</v>
      </c>
      <c r="G7" s="19">
        <f>I7-E7</f>
        <v>20.484999999999999</v>
      </c>
      <c r="H7" s="32">
        <f>295+66</f>
        <v>361</v>
      </c>
      <c r="I7" s="19">
        <f>89.586+22.91</f>
        <v>112.496</v>
      </c>
    </row>
    <row r="8" spans="1:242" ht="15.75" customHeight="1" x14ac:dyDescent="0.25">
      <c r="A8" s="94"/>
      <c r="B8" s="18">
        <v>2</v>
      </c>
      <c r="C8" s="31" t="s">
        <v>22</v>
      </c>
      <c r="D8" s="32">
        <v>293.5</v>
      </c>
      <c r="E8" s="19">
        <f>D8*0.37</f>
        <v>108.595</v>
      </c>
      <c r="F8" s="33"/>
      <c r="G8" s="19">
        <f>-0.602</f>
        <v>-0.60199999999999998</v>
      </c>
      <c r="H8" s="32">
        <v>293.5</v>
      </c>
      <c r="I8" s="19">
        <f t="shared" ref="I8:I13" si="0">E8+G8</f>
        <v>107.99299999999999</v>
      </c>
    </row>
    <row r="9" spans="1:242" ht="15.75" customHeight="1" x14ac:dyDescent="0.25">
      <c r="A9" s="94"/>
      <c r="B9" s="30">
        <v>3</v>
      </c>
      <c r="C9" s="31" t="s">
        <v>39</v>
      </c>
      <c r="D9" s="32">
        <v>150</v>
      </c>
      <c r="E9" s="19">
        <f>D9*0.37</f>
        <v>55.5</v>
      </c>
      <c r="F9" s="33"/>
      <c r="G9" s="19">
        <f>-1.22</f>
        <v>-1.22</v>
      </c>
      <c r="H9" s="32">
        <v>150</v>
      </c>
      <c r="I9" s="19">
        <f t="shared" si="0"/>
        <v>54.28</v>
      </c>
    </row>
    <row r="10" spans="1:242" ht="15" customHeight="1" x14ac:dyDescent="0.25">
      <c r="A10" s="94"/>
      <c r="B10" s="18">
        <v>4</v>
      </c>
      <c r="C10" s="31" t="s">
        <v>23</v>
      </c>
      <c r="D10" s="32">
        <f>50+25</f>
        <v>75</v>
      </c>
      <c r="E10" s="19">
        <v>22.765000000000001</v>
      </c>
      <c r="F10" s="33"/>
      <c r="G10" s="19">
        <f>-0.63</f>
        <v>-0.63</v>
      </c>
      <c r="H10" s="32">
        <f>50+25</f>
        <v>75</v>
      </c>
      <c r="I10" s="19">
        <f t="shared" si="0"/>
        <v>22.135000000000002</v>
      </c>
    </row>
    <row r="11" spans="1:242" ht="15" customHeight="1" x14ac:dyDescent="0.25">
      <c r="A11" s="94"/>
      <c r="B11" s="30">
        <v>5</v>
      </c>
      <c r="C11" s="31" t="s">
        <v>24</v>
      </c>
      <c r="D11" s="32">
        <f>75+115</f>
        <v>190</v>
      </c>
      <c r="E11" s="19">
        <f>23.535+42.55</f>
        <v>66.084999999999994</v>
      </c>
      <c r="F11" s="33"/>
      <c r="G11" s="19">
        <f>-13.93</f>
        <v>-13.93</v>
      </c>
      <c r="H11" s="32">
        <f>75+115</f>
        <v>190</v>
      </c>
      <c r="I11" s="19">
        <f t="shared" si="0"/>
        <v>52.154999999999994</v>
      </c>
    </row>
    <row r="12" spans="1:242" ht="15" customHeight="1" x14ac:dyDescent="0.25">
      <c r="A12" s="94"/>
      <c r="B12" s="18">
        <v>6</v>
      </c>
      <c r="C12" s="31" t="s">
        <v>40</v>
      </c>
      <c r="D12" s="32">
        <v>135.5</v>
      </c>
      <c r="E12" s="19">
        <v>53.167999999999999</v>
      </c>
      <c r="F12" s="33"/>
      <c r="G12" s="19">
        <f>-1.425</f>
        <v>-1.425</v>
      </c>
      <c r="H12" s="32">
        <v>135.5</v>
      </c>
      <c r="I12" s="19">
        <f t="shared" si="0"/>
        <v>51.743000000000002</v>
      </c>
    </row>
    <row r="13" spans="1:242" ht="15" customHeight="1" x14ac:dyDescent="0.25">
      <c r="A13" s="94"/>
      <c r="B13" s="30">
        <v>7</v>
      </c>
      <c r="C13" s="31" t="s">
        <v>11</v>
      </c>
      <c r="D13" s="32">
        <f>54+195+20</f>
        <v>269</v>
      </c>
      <c r="E13" s="19">
        <f>73.024+5.776</f>
        <v>78.8</v>
      </c>
      <c r="F13" s="33"/>
      <c r="G13" s="19">
        <f>-2.15</f>
        <v>-2.15</v>
      </c>
      <c r="H13" s="32">
        <v>269</v>
      </c>
      <c r="I13" s="19">
        <f t="shared" si="0"/>
        <v>76.649999999999991</v>
      </c>
    </row>
    <row r="14" spans="1:242" ht="15" customHeight="1" x14ac:dyDescent="0.25">
      <c r="A14" s="94"/>
      <c r="B14" s="18">
        <v>8</v>
      </c>
      <c r="C14" s="31" t="s">
        <v>10</v>
      </c>
      <c r="D14" s="32">
        <f>68+315+214</f>
        <v>597</v>
      </c>
      <c r="E14" s="19">
        <f>109.228+79.18</f>
        <v>188.40800000000002</v>
      </c>
      <c r="F14" s="33"/>
      <c r="G14" s="19"/>
      <c r="H14" s="32">
        <f>68+315+214</f>
        <v>597</v>
      </c>
      <c r="I14" s="19">
        <f>109.228+79.18</f>
        <v>188.40800000000002</v>
      </c>
    </row>
    <row r="15" spans="1:242" ht="13.5" customHeight="1" x14ac:dyDescent="0.25">
      <c r="A15" s="94"/>
      <c r="B15" s="30">
        <v>9</v>
      </c>
      <c r="C15" s="31" t="s">
        <v>41</v>
      </c>
      <c r="D15" s="32">
        <f>65+60</f>
        <v>125</v>
      </c>
      <c r="E15" s="19">
        <f>25.845+60*0.37-1.265</f>
        <v>46.78</v>
      </c>
      <c r="F15" s="32">
        <v>-60</v>
      </c>
      <c r="G15" s="19">
        <f>-21.61</f>
        <v>-21.61</v>
      </c>
      <c r="H15" s="32">
        <f>D15+F15</f>
        <v>65</v>
      </c>
      <c r="I15" s="19">
        <f>E15+G15</f>
        <v>25.17</v>
      </c>
    </row>
    <row r="16" spans="1:242" ht="15" customHeight="1" x14ac:dyDescent="0.25">
      <c r="A16" s="94"/>
      <c r="B16" s="18">
        <v>10</v>
      </c>
      <c r="C16" s="31" t="s">
        <v>42</v>
      </c>
      <c r="D16" s="32">
        <v>379</v>
      </c>
      <c r="E16" s="19">
        <v>143.001</v>
      </c>
      <c r="F16" s="33"/>
      <c r="G16" s="19">
        <f>-10.12</f>
        <v>-10.119999999999999</v>
      </c>
      <c r="H16" s="32">
        <v>379</v>
      </c>
      <c r="I16" s="19">
        <f>E16+G16</f>
        <v>132.881</v>
      </c>
    </row>
    <row r="17" spans="1:9" ht="15" customHeight="1" x14ac:dyDescent="0.25">
      <c r="A17" s="94"/>
      <c r="B17" s="30">
        <v>11</v>
      </c>
      <c r="C17" s="31" t="s">
        <v>32</v>
      </c>
      <c r="D17" s="32">
        <f>54.7+94.5</f>
        <v>149.19999999999999</v>
      </c>
      <c r="E17" s="19">
        <f>D17*0.36988</f>
        <v>55.186095999999992</v>
      </c>
      <c r="F17" s="33"/>
      <c r="G17" s="19"/>
      <c r="H17" s="32">
        <f>54.7+94.5</f>
        <v>149.19999999999999</v>
      </c>
      <c r="I17" s="19">
        <f>H17*0.36988</f>
        <v>55.186095999999992</v>
      </c>
    </row>
    <row r="18" spans="1:9" ht="17.25" customHeight="1" x14ac:dyDescent="0.25">
      <c r="A18" s="94"/>
      <c r="B18" s="18">
        <v>12</v>
      </c>
      <c r="C18" s="31" t="s">
        <v>33</v>
      </c>
      <c r="D18" s="32">
        <f>108.2+292.3</f>
        <v>400.5</v>
      </c>
      <c r="E18" s="19">
        <f>D18*0.36988</f>
        <v>148.13693999999998</v>
      </c>
      <c r="F18" s="33"/>
      <c r="G18" s="19"/>
      <c r="H18" s="32">
        <f>108.2+292.3</f>
        <v>400.5</v>
      </c>
      <c r="I18" s="19">
        <f>H18*0.36988</f>
        <v>148.13693999999998</v>
      </c>
    </row>
    <row r="19" spans="1:9" ht="18.75" customHeight="1" x14ac:dyDescent="0.25">
      <c r="A19" s="94"/>
      <c r="B19" s="30">
        <v>13</v>
      </c>
      <c r="C19" s="31" t="s">
        <v>34</v>
      </c>
      <c r="D19" s="32">
        <f>48+114.5</f>
        <v>162.5</v>
      </c>
      <c r="E19" s="19">
        <f>D19*0.36988-0.001</f>
        <v>60.104500000000002</v>
      </c>
      <c r="F19" s="33"/>
      <c r="G19" s="19"/>
      <c r="H19" s="32">
        <f>48+114.5</f>
        <v>162.5</v>
      </c>
      <c r="I19" s="19">
        <f>H19*0.36988-0.001</f>
        <v>60.104500000000002</v>
      </c>
    </row>
    <row r="20" spans="1:9" ht="19.5" customHeight="1" x14ac:dyDescent="0.25">
      <c r="A20" s="94"/>
      <c r="B20" s="18">
        <v>14</v>
      </c>
      <c r="C20" s="31" t="s">
        <v>35</v>
      </c>
      <c r="D20" s="32">
        <v>204</v>
      </c>
      <c r="E20" s="19">
        <v>61.347999999999999</v>
      </c>
      <c r="F20" s="33"/>
      <c r="G20" s="19"/>
      <c r="H20" s="32">
        <v>204</v>
      </c>
      <c r="I20" s="19">
        <v>61.347999999999999</v>
      </c>
    </row>
    <row r="21" spans="1:9" ht="18.75" customHeight="1" x14ac:dyDescent="0.25">
      <c r="A21" s="94"/>
      <c r="B21" s="30">
        <v>15</v>
      </c>
      <c r="C21" s="31" t="s">
        <v>36</v>
      </c>
      <c r="D21" s="32">
        <f>422.92-74.87</f>
        <v>348.05</v>
      </c>
      <c r="E21" s="19">
        <f>173.476-E20</f>
        <v>112.128</v>
      </c>
      <c r="F21" s="32">
        <f>40.28</f>
        <v>40.28</v>
      </c>
      <c r="G21" s="19">
        <v>0</v>
      </c>
      <c r="H21" s="32">
        <f>D21+F21</f>
        <v>388.33000000000004</v>
      </c>
      <c r="I21" s="19">
        <f>173.476-I20</f>
        <v>112.128</v>
      </c>
    </row>
    <row r="22" spans="1:9" s="36" customFormat="1" ht="18.75" customHeight="1" x14ac:dyDescent="0.25">
      <c r="A22" s="94"/>
      <c r="B22" s="30">
        <v>16</v>
      </c>
      <c r="C22" s="31" t="s">
        <v>43</v>
      </c>
      <c r="D22" s="32">
        <v>258</v>
      </c>
      <c r="E22" s="19">
        <v>100.97199999999999</v>
      </c>
      <c r="F22" s="32">
        <f>-75</f>
        <v>-75</v>
      </c>
      <c r="G22" s="19">
        <f>-31.05</f>
        <v>-31.05</v>
      </c>
      <c r="H22" s="32">
        <f>D22+F22</f>
        <v>183</v>
      </c>
      <c r="I22" s="19">
        <f>E22+G22</f>
        <v>69.921999999999997</v>
      </c>
    </row>
    <row r="23" spans="1:9" ht="18.75" customHeight="1" x14ac:dyDescent="0.25">
      <c r="A23" s="94"/>
      <c r="B23" s="30">
        <v>17</v>
      </c>
      <c r="C23" s="31" t="s">
        <v>71</v>
      </c>
      <c r="D23" s="32"/>
      <c r="E23" s="19"/>
      <c r="F23" s="32">
        <v>70</v>
      </c>
      <c r="G23" s="19">
        <v>24.5</v>
      </c>
      <c r="H23" s="32">
        <v>70</v>
      </c>
      <c r="I23" s="19">
        <v>24.5</v>
      </c>
    </row>
    <row r="24" spans="1:9" ht="26.25" customHeight="1" x14ac:dyDescent="0.25">
      <c r="A24" s="94"/>
      <c r="B24" s="18">
        <v>18</v>
      </c>
      <c r="C24" s="31" t="s">
        <v>44</v>
      </c>
      <c r="D24" s="32">
        <f>317-60</f>
        <v>257</v>
      </c>
      <c r="E24" s="19">
        <f>D24*0.37</f>
        <v>95.09</v>
      </c>
      <c r="F24" s="32">
        <f>H24-D24</f>
        <v>-207</v>
      </c>
      <c r="G24" s="19">
        <f>I24-E24</f>
        <v>-77.669000000000011</v>
      </c>
      <c r="H24" s="32">
        <v>50</v>
      </c>
      <c r="I24" s="32">
        <v>17.420999999999999</v>
      </c>
    </row>
    <row r="25" spans="1:9" ht="27.75" customHeight="1" x14ac:dyDescent="0.25">
      <c r="A25" s="94"/>
      <c r="B25" s="30">
        <v>19</v>
      </c>
      <c r="C25" s="31" t="s">
        <v>38</v>
      </c>
      <c r="D25" s="32">
        <v>783.5</v>
      </c>
      <c r="E25" s="19">
        <f>D25*0.36988-0.001</f>
        <v>289.79998000000001</v>
      </c>
      <c r="F25" s="32">
        <f>16.5</f>
        <v>16.5</v>
      </c>
      <c r="G25" s="19">
        <f>-31.714</f>
        <v>-31.713999999999999</v>
      </c>
      <c r="H25" s="32">
        <f>D25+F25</f>
        <v>800</v>
      </c>
      <c r="I25" s="19">
        <f>E25+G25</f>
        <v>258.08598000000001</v>
      </c>
    </row>
    <row r="26" spans="1:9" s="35" customFormat="1" ht="27.75" customHeight="1" x14ac:dyDescent="0.25">
      <c r="A26" s="94"/>
      <c r="B26" s="18">
        <v>20</v>
      </c>
      <c r="C26" s="31" t="s">
        <v>45</v>
      </c>
      <c r="D26" s="32">
        <v>175</v>
      </c>
      <c r="E26" s="19">
        <v>68.176000000000002</v>
      </c>
      <c r="F26" s="32">
        <f>H26-D26</f>
        <v>317</v>
      </c>
      <c r="G26" s="19">
        <f>I26-E26</f>
        <v>88.499999999999986</v>
      </c>
      <c r="H26" s="32">
        <v>492</v>
      </c>
      <c r="I26" s="19">
        <v>156.67599999999999</v>
      </c>
    </row>
    <row r="27" spans="1:9" ht="27.75" customHeight="1" x14ac:dyDescent="0.25">
      <c r="A27" s="94"/>
      <c r="B27" s="30">
        <v>21</v>
      </c>
      <c r="C27" s="31" t="s">
        <v>46</v>
      </c>
      <c r="D27" s="32">
        <v>52</v>
      </c>
      <c r="E27" s="19">
        <v>20.585999999999999</v>
      </c>
      <c r="F27" s="33"/>
      <c r="G27" s="19">
        <f>-0.415</f>
        <v>-0.41499999999999998</v>
      </c>
      <c r="H27" s="32">
        <v>52</v>
      </c>
      <c r="I27" s="19">
        <f>E27+G27</f>
        <v>20.170999999999999</v>
      </c>
    </row>
    <row r="28" spans="1:9" s="35" customFormat="1" ht="18" customHeight="1" x14ac:dyDescent="0.25">
      <c r="A28" s="94"/>
      <c r="B28" s="18">
        <v>22</v>
      </c>
      <c r="C28" s="31" t="s">
        <v>70</v>
      </c>
      <c r="D28" s="32"/>
      <c r="E28" s="19"/>
      <c r="F28" s="32">
        <v>80</v>
      </c>
      <c r="G28" s="19">
        <f>28</f>
        <v>28</v>
      </c>
      <c r="H28" s="32">
        <f>F28</f>
        <v>80</v>
      </c>
      <c r="I28" s="19">
        <f>G28</f>
        <v>28</v>
      </c>
    </row>
    <row r="29" spans="1:9" s="36" customFormat="1" ht="28.5" customHeight="1" x14ac:dyDescent="0.25">
      <c r="A29" s="94"/>
      <c r="B29" s="30">
        <v>23</v>
      </c>
      <c r="C29" s="31" t="s">
        <v>72</v>
      </c>
      <c r="D29" s="32"/>
      <c r="E29" s="19"/>
      <c r="F29" s="32">
        <v>75</v>
      </c>
      <c r="G29" s="19">
        <v>31.05</v>
      </c>
      <c r="H29" s="32">
        <v>75</v>
      </c>
      <c r="I29" s="19">
        <v>31.05</v>
      </c>
    </row>
    <row r="30" spans="1:9" ht="15.75" customHeight="1" x14ac:dyDescent="0.25">
      <c r="A30" s="94"/>
      <c r="B30" s="95" t="s">
        <v>31</v>
      </c>
      <c r="C30" s="95"/>
      <c r="D30" s="4">
        <f t="shared" ref="D30:I30" si="1">SUM(D7:D29)</f>
        <v>5272.75</v>
      </c>
      <c r="E30" s="12">
        <f t="shared" si="1"/>
        <v>1866.6405159999997</v>
      </c>
      <c r="F30" s="4">
        <f t="shared" si="1"/>
        <v>348.78</v>
      </c>
      <c r="G30" s="12">
        <f t="shared" si="1"/>
        <v>0</v>
      </c>
      <c r="H30" s="4">
        <f t="shared" si="1"/>
        <v>5621.53</v>
      </c>
      <c r="I30" s="12">
        <f t="shared" si="1"/>
        <v>1866.6405159999997</v>
      </c>
    </row>
    <row r="31" spans="1:9" ht="13.5" customHeight="1" x14ac:dyDescent="0.25">
      <c r="A31" s="98" t="s">
        <v>5</v>
      </c>
      <c r="B31" s="17">
        <v>1</v>
      </c>
      <c r="C31" s="3" t="s">
        <v>21</v>
      </c>
      <c r="D31" s="2">
        <f>13.4-6</f>
        <v>7.4</v>
      </c>
      <c r="E31" s="8">
        <v>2.3180000000000001</v>
      </c>
      <c r="F31" s="28"/>
      <c r="G31" s="28"/>
      <c r="H31" s="2">
        <f>13.4-6</f>
        <v>7.4</v>
      </c>
      <c r="I31" s="8">
        <v>2.3180000000000001</v>
      </c>
    </row>
    <row r="32" spans="1:9" x14ac:dyDescent="0.25">
      <c r="A32" s="99"/>
      <c r="B32" s="17">
        <v>2</v>
      </c>
      <c r="C32" s="3" t="s">
        <v>8</v>
      </c>
      <c r="D32" s="2">
        <v>18</v>
      </c>
      <c r="E32" s="8">
        <v>5.19</v>
      </c>
      <c r="F32" s="28"/>
      <c r="G32" s="28"/>
      <c r="H32" s="2">
        <v>18</v>
      </c>
      <c r="I32" s="8">
        <v>5.19</v>
      </c>
    </row>
    <row r="33" spans="1:9" x14ac:dyDescent="0.25">
      <c r="A33" s="99"/>
      <c r="B33" s="17">
        <v>3</v>
      </c>
      <c r="C33" s="20" t="s">
        <v>25</v>
      </c>
      <c r="D33" s="2">
        <v>26</v>
      </c>
      <c r="E33" s="8">
        <f>D33*0.315</f>
        <v>8.19</v>
      </c>
      <c r="F33" s="28"/>
      <c r="G33" s="28"/>
      <c r="H33" s="2">
        <v>26</v>
      </c>
      <c r="I33" s="8">
        <f>H33*0.315</f>
        <v>8.19</v>
      </c>
    </row>
    <row r="34" spans="1:9" x14ac:dyDescent="0.25">
      <c r="A34" s="99"/>
      <c r="B34" s="17">
        <v>4</v>
      </c>
      <c r="C34" s="3" t="s">
        <v>20</v>
      </c>
      <c r="D34" s="2">
        <v>74</v>
      </c>
      <c r="E34" s="8">
        <v>21.103000000000002</v>
      </c>
      <c r="F34" s="28"/>
      <c r="G34" s="28"/>
      <c r="H34" s="2">
        <v>74</v>
      </c>
      <c r="I34" s="8">
        <v>21.103000000000002</v>
      </c>
    </row>
    <row r="35" spans="1:9" ht="16.5" customHeight="1" x14ac:dyDescent="0.25">
      <c r="A35" s="99"/>
      <c r="B35" s="17">
        <v>5</v>
      </c>
      <c r="C35" s="14" t="s">
        <v>19</v>
      </c>
      <c r="D35" s="13">
        <v>110.8</v>
      </c>
      <c r="E35" s="8">
        <v>30.196999999999999</v>
      </c>
      <c r="F35" s="28"/>
      <c r="G35" s="28"/>
      <c r="H35" s="13">
        <v>110.8</v>
      </c>
      <c r="I35" s="8">
        <v>30.196999999999999</v>
      </c>
    </row>
    <row r="36" spans="1:9" x14ac:dyDescent="0.25">
      <c r="A36" s="99"/>
      <c r="B36" s="17">
        <v>6</v>
      </c>
      <c r="C36" s="3" t="s">
        <v>7</v>
      </c>
      <c r="D36" s="13">
        <f>178-28.9</f>
        <v>149.1</v>
      </c>
      <c r="E36" s="8">
        <v>44.738</v>
      </c>
      <c r="F36" s="28"/>
      <c r="G36" s="28"/>
      <c r="H36" s="13">
        <f>178-28.9</f>
        <v>149.1</v>
      </c>
      <c r="I36" s="8">
        <v>44.738</v>
      </c>
    </row>
    <row r="37" spans="1:9" x14ac:dyDescent="0.25">
      <c r="A37" s="99"/>
      <c r="B37" s="17">
        <v>7</v>
      </c>
      <c r="C37" s="3" t="s">
        <v>1</v>
      </c>
      <c r="D37" s="13">
        <f>30+124-29.27</f>
        <v>124.73</v>
      </c>
      <c r="E37" s="8">
        <v>35.427999999999997</v>
      </c>
      <c r="F37" s="28"/>
      <c r="G37" s="28"/>
      <c r="H37" s="13">
        <f>30+124-29.27</f>
        <v>124.73</v>
      </c>
      <c r="I37" s="8">
        <v>35.427999999999997</v>
      </c>
    </row>
    <row r="38" spans="1:9" x14ac:dyDescent="0.25">
      <c r="A38" s="99"/>
      <c r="B38" s="17">
        <v>8</v>
      </c>
      <c r="C38" s="3" t="s">
        <v>3</v>
      </c>
      <c r="D38" s="13">
        <f>14</f>
        <v>14</v>
      </c>
      <c r="E38" s="8">
        <v>3.8490000000000002</v>
      </c>
      <c r="F38" s="28"/>
      <c r="G38" s="28"/>
      <c r="H38" s="13">
        <f>14</f>
        <v>14</v>
      </c>
      <c r="I38" s="8">
        <v>3.8490000000000002</v>
      </c>
    </row>
    <row r="39" spans="1:9" x14ac:dyDescent="0.25">
      <c r="A39" s="99"/>
      <c r="B39" s="17">
        <v>9</v>
      </c>
      <c r="C39" s="3" t="s">
        <v>4</v>
      </c>
      <c r="D39" s="13">
        <f>10.82+49.26</f>
        <v>60.08</v>
      </c>
      <c r="E39" s="8">
        <v>17.559999999999999</v>
      </c>
      <c r="F39" s="28"/>
      <c r="G39" s="28"/>
      <c r="H39" s="13">
        <f>10.82+49.26</f>
        <v>60.08</v>
      </c>
      <c r="I39" s="8">
        <v>17.559999999999999</v>
      </c>
    </row>
    <row r="40" spans="1:9" x14ac:dyDescent="0.25">
      <c r="A40" s="99"/>
      <c r="B40" s="17">
        <v>10</v>
      </c>
      <c r="C40" s="3" t="s">
        <v>2</v>
      </c>
      <c r="D40" s="13">
        <f>11.9+13.8</f>
        <v>25.700000000000003</v>
      </c>
      <c r="E40" s="8">
        <v>7.6020000000000003</v>
      </c>
      <c r="F40" s="28"/>
      <c r="G40" s="28"/>
      <c r="H40" s="13">
        <f>11.9+13.8</f>
        <v>25.700000000000003</v>
      </c>
      <c r="I40" s="8">
        <v>7.6020000000000003</v>
      </c>
    </row>
    <row r="41" spans="1:9" x14ac:dyDescent="0.25">
      <c r="A41" s="99"/>
      <c r="B41" s="17">
        <v>11</v>
      </c>
      <c r="C41" s="25" t="s">
        <v>47</v>
      </c>
      <c r="D41" s="22">
        <f>16.28+17.5</f>
        <v>33.78</v>
      </c>
      <c r="E41" s="23">
        <f t="shared" ref="E41:E46" si="2">D41*0.37</f>
        <v>12.4986</v>
      </c>
      <c r="F41" s="28"/>
      <c r="G41" s="28"/>
      <c r="H41" s="22">
        <f>16.28+17.5</f>
        <v>33.78</v>
      </c>
      <c r="I41" s="23">
        <f t="shared" ref="I41:I46" si="3">H41*0.37</f>
        <v>12.4986</v>
      </c>
    </row>
    <row r="42" spans="1:9" x14ac:dyDescent="0.25">
      <c r="A42" s="99"/>
      <c r="B42" s="17">
        <v>12</v>
      </c>
      <c r="C42" s="25" t="s">
        <v>48</v>
      </c>
      <c r="D42" s="22">
        <f>16.56+33.9</f>
        <v>50.459999999999994</v>
      </c>
      <c r="E42" s="23">
        <f t="shared" si="2"/>
        <v>18.670199999999998</v>
      </c>
      <c r="F42" s="28"/>
      <c r="G42" s="28"/>
      <c r="H42" s="22">
        <f>16.56+33.9</f>
        <v>50.459999999999994</v>
      </c>
      <c r="I42" s="23">
        <f t="shared" si="3"/>
        <v>18.670199999999998</v>
      </c>
    </row>
    <row r="43" spans="1:9" x14ac:dyDescent="0.25">
      <c r="A43" s="99"/>
      <c r="B43" s="17">
        <v>13</v>
      </c>
      <c r="C43" s="25" t="s">
        <v>49</v>
      </c>
      <c r="D43" s="22">
        <f>7.92+47.05</f>
        <v>54.97</v>
      </c>
      <c r="E43" s="23">
        <f t="shared" si="2"/>
        <v>20.338899999999999</v>
      </c>
      <c r="F43" s="28"/>
      <c r="G43" s="28"/>
      <c r="H43" s="22">
        <f>7.92+47.05</f>
        <v>54.97</v>
      </c>
      <c r="I43" s="23">
        <f t="shared" si="3"/>
        <v>20.338899999999999</v>
      </c>
    </row>
    <row r="44" spans="1:9" x14ac:dyDescent="0.25">
      <c r="A44" s="99"/>
      <c r="B44" s="17">
        <v>14</v>
      </c>
      <c r="C44" s="25" t="s">
        <v>50</v>
      </c>
      <c r="D44" s="22">
        <f>7.2+22.1</f>
        <v>29.3</v>
      </c>
      <c r="E44" s="23">
        <f t="shared" si="2"/>
        <v>10.840999999999999</v>
      </c>
      <c r="F44" s="28"/>
      <c r="G44" s="28"/>
      <c r="H44" s="22">
        <f>7.2+22.1</f>
        <v>29.3</v>
      </c>
      <c r="I44" s="23">
        <f t="shared" si="3"/>
        <v>10.840999999999999</v>
      </c>
    </row>
    <row r="45" spans="1:9" x14ac:dyDescent="0.25">
      <c r="A45" s="99"/>
      <c r="B45" s="17">
        <v>15</v>
      </c>
      <c r="C45" s="25" t="s">
        <v>51</v>
      </c>
      <c r="D45" s="22">
        <f>27.35+14.2</f>
        <v>41.55</v>
      </c>
      <c r="E45" s="23">
        <f t="shared" si="2"/>
        <v>15.373499999999998</v>
      </c>
      <c r="F45" s="28"/>
      <c r="G45" s="28"/>
      <c r="H45" s="22">
        <f>27.35+14.2</f>
        <v>41.55</v>
      </c>
      <c r="I45" s="23">
        <f t="shared" si="3"/>
        <v>15.373499999999998</v>
      </c>
    </row>
    <row r="46" spans="1:9" x14ac:dyDescent="0.25">
      <c r="A46" s="99"/>
      <c r="B46" s="17">
        <v>16</v>
      </c>
      <c r="C46" s="21" t="s">
        <v>52</v>
      </c>
      <c r="D46" s="22">
        <f>(0.075+0.98)*100</f>
        <v>105.5</v>
      </c>
      <c r="E46" s="23">
        <f t="shared" si="2"/>
        <v>39.034999999999997</v>
      </c>
      <c r="F46" s="28"/>
      <c r="G46" s="28"/>
      <c r="H46" s="22">
        <f>(0.075+0.98)*100</f>
        <v>105.5</v>
      </c>
      <c r="I46" s="23">
        <f t="shared" si="3"/>
        <v>39.034999999999997</v>
      </c>
    </row>
    <row r="47" spans="1:9" x14ac:dyDescent="0.25">
      <c r="A47" s="99"/>
      <c r="B47" s="17">
        <v>17</v>
      </c>
      <c r="C47" s="21" t="s">
        <v>53</v>
      </c>
      <c r="D47" s="22">
        <v>93</v>
      </c>
      <c r="E47" s="23">
        <f>D47*0.37</f>
        <v>34.409999999999997</v>
      </c>
      <c r="F47" s="28"/>
      <c r="G47" s="28"/>
      <c r="H47" s="22">
        <v>93</v>
      </c>
      <c r="I47" s="23">
        <f>H47*0.37</f>
        <v>34.409999999999997</v>
      </c>
    </row>
    <row r="48" spans="1:9" x14ac:dyDescent="0.25">
      <c r="A48" s="99"/>
      <c r="B48" s="17">
        <v>18</v>
      </c>
      <c r="C48" s="21" t="s">
        <v>54</v>
      </c>
      <c r="D48" s="22">
        <v>15</v>
      </c>
      <c r="E48" s="23">
        <f>D48*0.37</f>
        <v>5.55</v>
      </c>
      <c r="F48" s="28"/>
      <c r="G48" s="28"/>
      <c r="H48" s="22">
        <v>15</v>
      </c>
      <c r="I48" s="23">
        <f>H48*0.37</f>
        <v>5.55</v>
      </c>
    </row>
    <row r="49" spans="1:9" x14ac:dyDescent="0.25">
      <c r="A49" s="99"/>
      <c r="B49" s="17">
        <v>19</v>
      </c>
      <c r="C49" s="21" t="s">
        <v>65</v>
      </c>
      <c r="D49" s="22">
        <v>149</v>
      </c>
      <c r="E49" s="23">
        <v>54.482999999999997</v>
      </c>
      <c r="F49" s="28"/>
      <c r="G49" s="28"/>
      <c r="H49" s="22">
        <v>149</v>
      </c>
      <c r="I49" s="23">
        <v>54.482999999999997</v>
      </c>
    </row>
    <row r="50" spans="1:9" x14ac:dyDescent="0.25">
      <c r="A50" s="99"/>
      <c r="B50" s="17">
        <v>20</v>
      </c>
      <c r="C50" s="21" t="s">
        <v>55</v>
      </c>
      <c r="D50" s="22">
        <f>(0.278+0.204)*100</f>
        <v>48.199999999999996</v>
      </c>
      <c r="E50" s="23">
        <f t="shared" ref="E50:E55" si="4">D50*0.37</f>
        <v>17.834</v>
      </c>
      <c r="F50" s="28"/>
      <c r="G50" s="28"/>
      <c r="H50" s="22">
        <f>(0.278+0.204)*100</f>
        <v>48.199999999999996</v>
      </c>
      <c r="I50" s="23">
        <f t="shared" ref="I50:I55" si="5">H50*0.37</f>
        <v>17.834</v>
      </c>
    </row>
    <row r="51" spans="1:9" x14ac:dyDescent="0.25">
      <c r="A51" s="99"/>
      <c r="B51" s="17">
        <v>21</v>
      </c>
      <c r="C51" s="21" t="s">
        <v>57</v>
      </c>
      <c r="D51" s="22">
        <f>(0.23+1.865)*100</f>
        <v>209.50000000000003</v>
      </c>
      <c r="E51" s="23">
        <f t="shared" si="4"/>
        <v>77.515000000000015</v>
      </c>
      <c r="F51" s="28"/>
      <c r="G51" s="28"/>
      <c r="H51" s="22">
        <f>(0.23+1.865)*100</f>
        <v>209.50000000000003</v>
      </c>
      <c r="I51" s="23">
        <f t="shared" si="5"/>
        <v>77.515000000000015</v>
      </c>
    </row>
    <row r="52" spans="1:9" x14ac:dyDescent="0.25">
      <c r="A52" s="99"/>
      <c r="B52" s="17">
        <v>22</v>
      </c>
      <c r="C52" s="21" t="s">
        <v>58</v>
      </c>
      <c r="D52" s="22">
        <f>(0.225+0.473+0.12)*100</f>
        <v>81.8</v>
      </c>
      <c r="E52" s="23">
        <f t="shared" si="4"/>
        <v>30.265999999999998</v>
      </c>
      <c r="F52" s="28"/>
      <c r="G52" s="28"/>
      <c r="H52" s="22">
        <f>(0.225+0.473+0.12)*100</f>
        <v>81.8</v>
      </c>
      <c r="I52" s="23">
        <f t="shared" si="5"/>
        <v>30.265999999999998</v>
      </c>
    </row>
    <row r="53" spans="1:9" x14ac:dyDescent="0.25">
      <c r="A53" s="99"/>
      <c r="B53" s="17">
        <v>23</v>
      </c>
      <c r="C53" s="21" t="s">
        <v>59</v>
      </c>
      <c r="D53" s="22">
        <f>(0.14+0.59)*100</f>
        <v>73</v>
      </c>
      <c r="E53" s="23">
        <f t="shared" si="4"/>
        <v>27.009999999999998</v>
      </c>
      <c r="F53" s="28"/>
      <c r="G53" s="28"/>
      <c r="H53" s="22">
        <f>(0.14+0.59)*100</f>
        <v>73</v>
      </c>
      <c r="I53" s="23">
        <f t="shared" si="5"/>
        <v>27.009999999999998</v>
      </c>
    </row>
    <row r="54" spans="1:9" x14ac:dyDescent="0.25">
      <c r="A54" s="99"/>
      <c r="B54" s="17">
        <v>24</v>
      </c>
      <c r="C54" s="21" t="s">
        <v>60</v>
      </c>
      <c r="D54" s="22">
        <v>100.32</v>
      </c>
      <c r="E54" s="23">
        <f t="shared" si="4"/>
        <v>37.118399999999994</v>
      </c>
      <c r="F54" s="28"/>
      <c r="G54" s="28"/>
      <c r="H54" s="22">
        <v>100.32</v>
      </c>
      <c r="I54" s="23">
        <f t="shared" si="5"/>
        <v>37.118399999999994</v>
      </c>
    </row>
    <row r="55" spans="1:9" x14ac:dyDescent="0.25">
      <c r="A55" s="99"/>
      <c r="B55" s="17">
        <v>25</v>
      </c>
      <c r="C55" s="21" t="s">
        <v>63</v>
      </c>
      <c r="D55" s="22">
        <v>180.6</v>
      </c>
      <c r="E55" s="23">
        <f t="shared" si="4"/>
        <v>66.822000000000003</v>
      </c>
      <c r="F55" s="28"/>
      <c r="G55" s="28"/>
      <c r="H55" s="22">
        <v>180.6</v>
      </c>
      <c r="I55" s="23">
        <f t="shared" si="5"/>
        <v>66.822000000000003</v>
      </c>
    </row>
    <row r="56" spans="1:9" ht="39" customHeight="1" x14ac:dyDescent="0.25">
      <c r="A56" s="99"/>
      <c r="B56" s="93" t="s">
        <v>6</v>
      </c>
      <c r="C56" s="93"/>
      <c r="D56" s="15">
        <f>SUM(D31:D55)</f>
        <v>1875.7899999999997</v>
      </c>
      <c r="E56" s="16">
        <f>SUM(E31:E55)</f>
        <v>643.9405999999999</v>
      </c>
      <c r="F56" s="28"/>
      <c r="G56" s="29"/>
      <c r="H56" s="15">
        <f>SUM(H31:H55)</f>
        <v>1875.7899999999997</v>
      </c>
      <c r="I56" s="16">
        <f>SUM(I31:I55)</f>
        <v>643.9405999999999</v>
      </c>
    </row>
    <row r="57" spans="1:9" ht="45.75" customHeight="1" x14ac:dyDescent="0.25">
      <c r="A57" s="98" t="s">
        <v>12</v>
      </c>
      <c r="B57" s="17">
        <v>1</v>
      </c>
      <c r="C57" s="9" t="s">
        <v>16</v>
      </c>
      <c r="D57" s="5"/>
      <c r="E57" s="8">
        <f>556.6+5-38.1+0.70631-486.805</f>
        <v>37.401310000000024</v>
      </c>
      <c r="F57" s="28"/>
      <c r="G57" s="8">
        <f>-18.236</f>
        <v>-18.236000000000001</v>
      </c>
      <c r="H57" s="28"/>
      <c r="I57" s="8">
        <f>E57+G57</f>
        <v>19.165310000000023</v>
      </c>
    </row>
    <row r="58" spans="1:9" ht="34.5" customHeight="1" x14ac:dyDescent="0.25">
      <c r="A58" s="99"/>
      <c r="B58" s="17">
        <v>2</v>
      </c>
      <c r="C58" s="9" t="s">
        <v>26</v>
      </c>
      <c r="D58" s="5"/>
      <c r="E58" s="8">
        <v>2.8</v>
      </c>
      <c r="F58" s="28"/>
      <c r="G58" s="8">
        <f>I58-E58</f>
        <v>8.0100000000000016</v>
      </c>
      <c r="H58" s="28"/>
      <c r="I58" s="8">
        <v>10.81</v>
      </c>
    </row>
    <row r="59" spans="1:9" ht="36.75" customHeight="1" x14ac:dyDescent="0.25">
      <c r="A59" s="99"/>
      <c r="B59" s="17">
        <v>3</v>
      </c>
      <c r="C59" s="9" t="s">
        <v>27</v>
      </c>
      <c r="D59" s="5"/>
      <c r="E59" s="8">
        <v>1.3</v>
      </c>
      <c r="F59" s="28"/>
      <c r="G59" s="8"/>
      <c r="H59" s="28"/>
      <c r="I59" s="8">
        <v>1.3</v>
      </c>
    </row>
    <row r="60" spans="1:9" ht="32.25" customHeight="1" x14ac:dyDescent="0.25">
      <c r="A60" s="99"/>
      <c r="B60" s="17">
        <v>4</v>
      </c>
      <c r="C60" s="9" t="s">
        <v>56</v>
      </c>
      <c r="D60" s="5"/>
      <c r="E60" s="8">
        <v>4</v>
      </c>
      <c r="F60" s="28"/>
      <c r="G60" s="8">
        <f>I60-E60</f>
        <v>7.8260000000000005</v>
      </c>
      <c r="H60" s="28"/>
      <c r="I60" s="8">
        <v>11.826000000000001</v>
      </c>
    </row>
    <row r="61" spans="1:9" ht="53.25" customHeight="1" x14ac:dyDescent="0.25">
      <c r="A61" s="99"/>
      <c r="B61" s="17">
        <v>5</v>
      </c>
      <c r="C61" s="9" t="s">
        <v>66</v>
      </c>
      <c r="D61" s="5"/>
      <c r="E61" s="8">
        <f>3.832+4.668</f>
        <v>8.5</v>
      </c>
      <c r="F61" s="28"/>
      <c r="G61" s="8">
        <f>I61-E61</f>
        <v>7.4</v>
      </c>
      <c r="H61" s="34"/>
      <c r="I61" s="8">
        <v>15.9</v>
      </c>
    </row>
    <row r="62" spans="1:9" ht="39.6" x14ac:dyDescent="0.25">
      <c r="A62" s="99"/>
      <c r="B62" s="17">
        <v>6</v>
      </c>
      <c r="C62" s="9" t="s">
        <v>28</v>
      </c>
      <c r="D62" s="5"/>
      <c r="E62" s="8">
        <f>3+2</f>
        <v>5</v>
      </c>
      <c r="F62" s="28"/>
      <c r="G62" s="8">
        <f>-5</f>
        <v>-5</v>
      </c>
      <c r="H62" s="28"/>
      <c r="I62" s="8">
        <f>E62+G62</f>
        <v>0</v>
      </c>
    </row>
    <row r="63" spans="1:9" ht="46.5" customHeight="1" x14ac:dyDescent="0.25">
      <c r="A63" s="99"/>
      <c r="B63" s="94" t="s">
        <v>18</v>
      </c>
      <c r="C63" s="94"/>
      <c r="D63" s="6"/>
      <c r="E63" s="11">
        <f>SUM(E57:E62)</f>
        <v>59.001310000000018</v>
      </c>
      <c r="F63" s="11"/>
      <c r="G63" s="11">
        <f>SUM(G57:G62)</f>
        <v>0</v>
      </c>
      <c r="H63" s="11"/>
      <c r="I63" s="11">
        <f>SUM(I57:I62)</f>
        <v>59.001310000000025</v>
      </c>
    </row>
    <row r="64" spans="1:9" ht="68.25" customHeight="1" x14ac:dyDescent="0.25">
      <c r="A64" s="93" t="s">
        <v>61</v>
      </c>
      <c r="B64" s="17">
        <v>1</v>
      </c>
      <c r="C64" s="9" t="s">
        <v>62</v>
      </c>
      <c r="D64" s="6"/>
      <c r="E64" s="24">
        <v>162.173</v>
      </c>
      <c r="F64" s="28"/>
      <c r="G64" s="28"/>
      <c r="H64" s="28"/>
      <c r="I64" s="24">
        <v>162.173</v>
      </c>
    </row>
    <row r="65" spans="1:9" ht="31.5" customHeight="1" x14ac:dyDescent="0.25">
      <c r="A65" s="93"/>
      <c r="B65" s="94" t="s">
        <v>61</v>
      </c>
      <c r="C65" s="94"/>
      <c r="D65" s="6"/>
      <c r="E65" s="11">
        <f>E64</f>
        <v>162.173</v>
      </c>
      <c r="F65" s="28"/>
      <c r="G65" s="28"/>
      <c r="H65" s="28"/>
      <c r="I65" s="11">
        <f>I64</f>
        <v>162.173</v>
      </c>
    </row>
    <row r="66" spans="1:9" ht="33.75" customHeight="1" x14ac:dyDescent="0.25">
      <c r="A66" s="93" t="s">
        <v>64</v>
      </c>
      <c r="B66" s="17">
        <v>1</v>
      </c>
      <c r="C66" s="9" t="s">
        <v>64</v>
      </c>
      <c r="D66" s="6"/>
      <c r="E66" s="24">
        <v>15</v>
      </c>
      <c r="F66" s="28"/>
      <c r="G66" s="28"/>
      <c r="H66" s="28"/>
      <c r="I66" s="24">
        <v>15</v>
      </c>
    </row>
    <row r="67" spans="1:9" ht="38.25" customHeight="1" x14ac:dyDescent="0.25">
      <c r="A67" s="93"/>
      <c r="B67" s="93" t="s">
        <v>64</v>
      </c>
      <c r="C67" s="94"/>
      <c r="D67" s="6"/>
      <c r="E67" s="11">
        <f>E66</f>
        <v>15</v>
      </c>
      <c r="F67" s="28"/>
      <c r="G67" s="28"/>
      <c r="H67" s="28"/>
      <c r="I67" s="11">
        <f>I66</f>
        <v>15</v>
      </c>
    </row>
    <row r="68" spans="1:9" x14ac:dyDescent="0.25">
      <c r="A68" s="100" t="s">
        <v>14</v>
      </c>
      <c r="B68" s="100"/>
      <c r="C68" s="100"/>
      <c r="D68" s="100"/>
      <c r="E68" s="11">
        <f>E30+E56+E63+0.001+E65+E67</f>
        <v>2746.7564259999999</v>
      </c>
      <c r="F68" s="28"/>
      <c r="G68" s="28"/>
      <c r="H68" s="28"/>
      <c r="I68" s="11">
        <f>I30+I56+I63+I65+I67+0.001</f>
        <v>2746.7564259999999</v>
      </c>
    </row>
    <row r="69" spans="1:9" x14ac:dyDescent="0.25">
      <c r="A69" s="7"/>
      <c r="B69" s="7"/>
      <c r="C69" s="7"/>
      <c r="D69" s="7"/>
      <c r="E69" s="10"/>
    </row>
  </sheetData>
  <mergeCells count="48">
    <mergeCell ref="HC1:HJ1"/>
    <mergeCell ref="GM1:GT1"/>
    <mergeCell ref="EI1:EP1"/>
    <mergeCell ref="EQ1:EX1"/>
    <mergeCell ref="FW1:GD1"/>
    <mergeCell ref="FG1:FN1"/>
    <mergeCell ref="FO1:FV1"/>
    <mergeCell ref="S1:Z1"/>
    <mergeCell ref="AA1:AH1"/>
    <mergeCell ref="AI1:AP1"/>
    <mergeCell ref="AQ1:AX1"/>
    <mergeCell ref="IA1:IH1"/>
    <mergeCell ref="CU1:DB1"/>
    <mergeCell ref="BG1:BN1"/>
    <mergeCell ref="BO1:BV1"/>
    <mergeCell ref="EY1:FF1"/>
    <mergeCell ref="GE1:GL1"/>
    <mergeCell ref="HS1:HZ1"/>
    <mergeCell ref="DK1:DR1"/>
    <mergeCell ref="DS1:DZ1"/>
    <mergeCell ref="GU1:HB1"/>
    <mergeCell ref="HK1:HR1"/>
    <mergeCell ref="EA1:EH1"/>
    <mergeCell ref="DC1:DJ1"/>
    <mergeCell ref="A31:A56"/>
    <mergeCell ref="B56:C56"/>
    <mergeCell ref="A68:D68"/>
    <mergeCell ref="A57:A63"/>
    <mergeCell ref="B63:C63"/>
    <mergeCell ref="A64:A65"/>
    <mergeCell ref="B65:C65"/>
    <mergeCell ref="A66:A67"/>
    <mergeCell ref="B67:C67"/>
    <mergeCell ref="BW1:CD1"/>
    <mergeCell ref="CE1:CL1"/>
    <mergeCell ref="CM1:CT1"/>
    <mergeCell ref="A1:E1"/>
    <mergeCell ref="G1:J1"/>
    <mergeCell ref="AY1:BF1"/>
    <mergeCell ref="K1:R1"/>
    <mergeCell ref="A7:A30"/>
    <mergeCell ref="B30:C30"/>
    <mergeCell ref="D4:E5"/>
    <mergeCell ref="F4:G5"/>
    <mergeCell ref="H4:I5"/>
    <mergeCell ref="A2:E3"/>
    <mergeCell ref="A4:A6"/>
    <mergeCell ref="B4:C6"/>
  </mergeCells>
  <phoneticPr fontId="0" type="noConversion"/>
  <pageMargins left="0.78740157480314965" right="0.39370078740157483" top="0.39370078740157483" bottom="0.55118110236220474" header="0.51181102362204722" footer="0.51181102362204722"/>
  <pageSetup paperSize="9" scale="91" orientation="landscape" r:id="rId1"/>
  <headerFooter alignWithMargins="0"/>
  <rowBreaks count="2" manualBreakCount="2">
    <brk id="30" max="8" man="1"/>
    <brk id="6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Додаток кап. будівництва</vt:lpstr>
      <vt:lpstr>зміни</vt:lpstr>
      <vt:lpstr>зміни!Заголовки_для_печати</vt:lpstr>
      <vt:lpstr>'Додаток кап. будівництва'!Область_печати</vt:lpstr>
      <vt:lpstr>зміни!Область_печати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</dc:creator>
  <cp:lastModifiedBy>Користувач</cp:lastModifiedBy>
  <cp:lastPrinted>2025-03-11T15:05:40Z</cp:lastPrinted>
  <dcterms:created xsi:type="dcterms:W3CDTF">2011-07-11T06:23:32Z</dcterms:created>
  <dcterms:modified xsi:type="dcterms:W3CDTF">2025-03-11T15:14:02Z</dcterms:modified>
</cp:coreProperties>
</file>